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12120" windowHeight="9120" firstSheet="1" activeTab="2"/>
  </bookViews>
  <sheets>
    <sheet name="Sheet1" sheetId="1" state="hidden" r:id="rId1"/>
    <sheet name="Result - 30 -June,2010" sheetId="6" r:id="rId2"/>
    <sheet name="Tally Working of WOS-Result " sheetId="8" r:id="rId3"/>
    <sheet name=" FZE-Tally Data " sheetId="10" r:id="rId4"/>
  </sheets>
  <definedNames>
    <definedName name="_xlnm.Print_Area" localSheetId="1">'Result - 30 -June,2010'!$A$1:$S$69</definedName>
    <definedName name="_xlnm.Print_Area" localSheetId="2">'Tally Working of WOS-Result '!$B$1:$E$48</definedName>
  </definedNames>
  <calcPr calcId="124519"/>
</workbook>
</file>

<file path=xl/calcChain.xml><?xml version="1.0" encoding="utf-8"?>
<calcChain xmlns="http://schemas.openxmlformats.org/spreadsheetml/2006/main">
  <c r="D24" i="8"/>
  <c r="D14"/>
  <c r="D30"/>
  <c r="O13" i="6"/>
  <c r="O9"/>
  <c r="D18" i="8"/>
  <c r="D12"/>
  <c r="B24" i="6"/>
  <c r="O24" s="1"/>
  <c r="B49"/>
  <c r="B43"/>
  <c r="O20"/>
  <c r="E30" i="8"/>
  <c r="D23"/>
  <c r="E23" s="1"/>
  <c r="D22"/>
  <c r="E22" s="1"/>
  <c r="D16"/>
  <c r="E21"/>
  <c r="E14"/>
  <c r="B14"/>
  <c r="B16" s="1"/>
  <c r="B26" s="1"/>
  <c r="B30" s="1"/>
  <c r="B32" s="1"/>
  <c r="B34" s="1"/>
  <c r="B36" s="1"/>
  <c r="B38" s="1"/>
  <c r="B40" s="1"/>
  <c r="B42" s="1"/>
  <c r="B44" s="1"/>
  <c r="B46" s="1"/>
  <c r="D26" l="1"/>
  <c r="E12"/>
  <c r="E18"/>
  <c r="E19"/>
  <c r="E20"/>
  <c r="E24" l="1"/>
  <c r="E26" s="1"/>
  <c r="D34"/>
  <c r="D38" s="1"/>
  <c r="E16"/>
  <c r="E34" l="1"/>
  <c r="E38" s="1"/>
  <c r="P33" i="6" l="1"/>
  <c r="O32"/>
  <c r="O31"/>
  <c r="O30"/>
  <c r="O28"/>
  <c r="O21"/>
  <c r="B17"/>
  <c r="O17" s="1"/>
  <c r="B19"/>
  <c r="O19" s="1"/>
  <c r="B18"/>
  <c r="O18" s="1"/>
  <c r="B16"/>
  <c r="O16" s="1"/>
  <c r="B14"/>
  <c r="O14" s="1"/>
  <c r="B10"/>
  <c r="O10" s="1"/>
  <c r="P16"/>
  <c r="P20" s="1"/>
  <c r="C16"/>
  <c r="O51"/>
  <c r="O50"/>
  <c r="O49"/>
  <c r="O48"/>
  <c r="O47"/>
  <c r="O46"/>
  <c r="O44"/>
  <c r="O43"/>
  <c r="P51"/>
  <c r="P49"/>
  <c r="P44"/>
  <c r="P43"/>
  <c r="P35"/>
  <c r="P26"/>
  <c r="P24"/>
  <c r="P19"/>
  <c r="P18"/>
  <c r="P14"/>
  <c r="P9"/>
  <c r="P11" s="1"/>
  <c r="Q50"/>
  <c r="Q51"/>
  <c r="Q48"/>
  <c r="Q47"/>
  <c r="Q46"/>
  <c r="Q44"/>
  <c r="Q38"/>
  <c r="Q35"/>
  <c r="O33"/>
  <c r="Q32"/>
  <c r="Q33" s="1"/>
  <c r="Q26"/>
  <c r="Q24"/>
  <c r="Q21"/>
  <c r="Q20"/>
  <c r="Q19"/>
  <c r="Q18"/>
  <c r="Q17"/>
  <c r="Q16"/>
  <c r="Q14"/>
  <c r="Q13"/>
  <c r="Q10"/>
  <c r="Q9"/>
  <c r="D49"/>
  <c r="Q49" s="1"/>
  <c r="D43"/>
  <c r="Q43" s="1"/>
  <c r="D38"/>
  <c r="C33"/>
  <c r="D33"/>
  <c r="B33"/>
  <c r="E33"/>
  <c r="F33"/>
  <c r="D28"/>
  <c r="D26"/>
  <c r="D24"/>
  <c r="B22"/>
  <c r="D21"/>
  <c r="D20"/>
  <c r="D19"/>
  <c r="D18"/>
  <c r="D17"/>
  <c r="D16"/>
  <c r="D14"/>
  <c r="D10"/>
  <c r="D9"/>
  <c r="D13"/>
  <c r="D22" s="1"/>
  <c r="B11"/>
  <c r="Q11" l="1"/>
  <c r="P22"/>
  <c r="P23" s="1"/>
  <c r="B23"/>
  <c r="B25" s="1"/>
  <c r="B27" s="1"/>
  <c r="B29" s="1"/>
  <c r="B34" s="1"/>
  <c r="B36" s="1"/>
  <c r="P25"/>
  <c r="P27" s="1"/>
  <c r="P29" s="1"/>
  <c r="P34" s="1"/>
  <c r="P36" s="1"/>
  <c r="D11"/>
  <c r="D23" s="1"/>
  <c r="D25" s="1"/>
  <c r="D27" s="1"/>
  <c r="D29" s="1"/>
  <c r="D34" s="1"/>
  <c r="D36" s="1"/>
  <c r="C37" l="1"/>
  <c r="C35"/>
  <c r="C26"/>
  <c r="C24"/>
  <c r="C19"/>
  <c r="C18"/>
  <c r="C20" s="1"/>
  <c r="C14"/>
  <c r="C13"/>
  <c r="C9"/>
  <c r="C11" s="1"/>
  <c r="Q15"/>
  <c r="Q22" s="1"/>
  <c r="Q23" s="1"/>
  <c r="Q25" s="1"/>
  <c r="Q27" s="1"/>
  <c r="Q29" s="1"/>
  <c r="Q34" s="1"/>
  <c r="Q36" s="1"/>
  <c r="O15"/>
  <c r="O22" s="1"/>
  <c r="O35"/>
  <c r="O11"/>
  <c r="O23" s="1"/>
  <c r="O25" s="1"/>
  <c r="O37"/>
  <c r="Q37"/>
  <c r="D37"/>
  <c r="B37"/>
  <c r="P37"/>
  <c r="F24"/>
  <c r="M26"/>
  <c r="E10"/>
  <c r="M24"/>
  <c r="M10"/>
  <c r="R10"/>
  <c r="M30"/>
  <c r="M35"/>
  <c r="M28"/>
  <c r="M9"/>
  <c r="E37"/>
  <c r="M18"/>
  <c r="M14"/>
  <c r="R37"/>
  <c r="M19"/>
  <c r="M37"/>
  <c r="K35"/>
  <c r="K30"/>
  <c r="E28"/>
  <c r="K28"/>
  <c r="E15"/>
  <c r="E18"/>
  <c r="K19"/>
  <c r="K18"/>
  <c r="E13"/>
  <c r="E9"/>
  <c r="K9"/>
  <c r="E35"/>
  <c r="N43"/>
  <c r="N41"/>
  <c r="N40"/>
  <c r="N37"/>
  <c r="N26"/>
  <c r="N24"/>
  <c r="N20"/>
  <c r="N19"/>
  <c r="N18"/>
  <c r="N15"/>
  <c r="N14"/>
  <c r="N9"/>
  <c r="S43"/>
  <c r="S37"/>
  <c r="S30"/>
  <c r="S26"/>
  <c r="S24"/>
  <c r="S20"/>
  <c r="S19"/>
  <c r="S18"/>
  <c r="S15"/>
  <c r="S14"/>
  <c r="S22" s="1"/>
  <c r="S13"/>
  <c r="S9"/>
  <c r="F43"/>
  <c r="F41"/>
  <c r="F40"/>
  <c r="F37"/>
  <c r="F30"/>
  <c r="F20"/>
  <c r="F19"/>
  <c r="F18"/>
  <c r="F15"/>
  <c r="F14"/>
  <c r="F13"/>
  <c r="F9"/>
  <c r="I24"/>
  <c r="I35"/>
  <c r="I37"/>
  <c r="I28"/>
  <c r="I18"/>
  <c r="K37"/>
  <c r="I30"/>
  <c r="I26"/>
  <c r="I19"/>
  <c r="I14"/>
  <c r="I9"/>
  <c r="J43"/>
  <c r="J9"/>
  <c r="J13"/>
  <c r="J14"/>
  <c r="J15"/>
  <c r="J18"/>
  <c r="J19"/>
  <c r="J20"/>
  <c r="J24"/>
  <c r="J26"/>
  <c r="J30"/>
  <c r="J37"/>
  <c r="L43"/>
  <c r="L9"/>
  <c r="L13"/>
  <c r="L14"/>
  <c r="L15"/>
  <c r="L18"/>
  <c r="L20"/>
  <c r="L24"/>
  <c r="L26"/>
  <c r="L30"/>
  <c r="L37"/>
  <c r="I10" i="1"/>
  <c r="I18"/>
  <c r="I21"/>
  <c r="I23"/>
  <c r="I25"/>
  <c r="J10"/>
  <c r="J18"/>
  <c r="J21"/>
  <c r="J23"/>
  <c r="J25"/>
  <c r="K10"/>
  <c r="K18"/>
  <c r="K21"/>
  <c r="K23"/>
  <c r="K25"/>
  <c r="L10"/>
  <c r="L18"/>
  <c r="L21"/>
  <c r="L23"/>
  <c r="L25"/>
  <c r="H10"/>
  <c r="H18"/>
  <c r="H21"/>
  <c r="H23"/>
  <c r="H25"/>
  <c r="F22" i="6"/>
  <c r="F23" s="1"/>
  <c r="F25" s="1"/>
  <c r="F27" s="1"/>
  <c r="F29" s="1"/>
  <c r="F34" s="1"/>
  <c r="F36" s="1"/>
  <c r="N22"/>
  <c r="N23" s="1"/>
  <c r="N25" s="1"/>
  <c r="N27" s="1"/>
  <c r="N29" s="1"/>
  <c r="N34" s="1"/>
  <c r="N36" s="1"/>
  <c r="R28"/>
  <c r="M20"/>
  <c r="I15"/>
  <c r="I20"/>
  <c r="I13"/>
  <c r="R9"/>
  <c r="K14"/>
  <c r="E14"/>
  <c r="K24"/>
  <c r="E24"/>
  <c r="M13"/>
  <c r="E19"/>
  <c r="R35"/>
  <c r="R18"/>
  <c r="K13"/>
  <c r="R19"/>
  <c r="K15"/>
  <c r="K26"/>
  <c r="R26" s="1"/>
  <c r="E26"/>
  <c r="R30"/>
  <c r="L22"/>
  <c r="L23"/>
  <c r="L25" s="1"/>
  <c r="L27" s="1"/>
  <c r="L29" s="1"/>
  <c r="L34" s="1"/>
  <c r="J22"/>
  <c r="J23"/>
  <c r="J25" s="1"/>
  <c r="J27" s="1"/>
  <c r="J29" s="1"/>
  <c r="J34" s="1"/>
  <c r="E30"/>
  <c r="Q30"/>
  <c r="M15"/>
  <c r="E25"/>
  <c r="E27" s="1"/>
  <c r="R15"/>
  <c r="M22"/>
  <c r="I22"/>
  <c r="I23" s="1"/>
  <c r="I25" s="1"/>
  <c r="I27" s="1"/>
  <c r="I29" s="1"/>
  <c r="I34" s="1"/>
  <c r="E20"/>
  <c r="E22"/>
  <c r="K20"/>
  <c r="K22"/>
  <c r="K23" s="1"/>
  <c r="K25" s="1"/>
  <c r="R13"/>
  <c r="R22" s="1"/>
  <c r="R23" s="1"/>
  <c r="R25" s="1"/>
  <c r="R27" s="1"/>
  <c r="R29" s="1"/>
  <c r="R34" s="1"/>
  <c r="R24"/>
  <c r="R14"/>
  <c r="M23"/>
  <c r="M25"/>
  <c r="M27" s="1"/>
  <c r="M29" s="1"/>
  <c r="M34" s="1"/>
  <c r="E29"/>
  <c r="E34" s="1"/>
  <c r="R20"/>
  <c r="E23"/>
  <c r="K27" l="1"/>
  <c r="K29" s="1"/>
  <c r="K34" s="1"/>
  <c r="S23"/>
  <c r="S25" s="1"/>
  <c r="S27" s="1"/>
  <c r="S29" s="1"/>
  <c r="S34" s="1"/>
  <c r="S36" s="1"/>
  <c r="R36"/>
  <c r="R41" s="1"/>
  <c r="R40"/>
  <c r="E36"/>
  <c r="E41" s="1"/>
  <c r="E40"/>
  <c r="K36"/>
  <c r="K41" s="1"/>
  <c r="K40"/>
  <c r="I36"/>
  <c r="I41" s="1"/>
  <c r="I40"/>
  <c r="M40"/>
  <c r="M36"/>
  <c r="M41" s="1"/>
  <c r="J40"/>
  <c r="J36"/>
  <c r="J41" s="1"/>
  <c r="L36"/>
  <c r="L41" s="1"/>
  <c r="L40"/>
  <c r="C22"/>
  <c r="C23" s="1"/>
  <c r="C25" s="1"/>
  <c r="C27" s="1"/>
  <c r="C29" s="1"/>
  <c r="C34" s="1"/>
  <c r="C36" s="1"/>
  <c r="C41" s="1"/>
  <c r="P41"/>
  <c r="P40"/>
  <c r="Q41"/>
  <c r="D40"/>
  <c r="D41"/>
  <c r="O27"/>
  <c r="O29" s="1"/>
  <c r="B40"/>
  <c r="B41"/>
  <c r="C40" l="1"/>
  <c r="O34"/>
  <c r="O36" s="1"/>
  <c r="O41" s="1"/>
  <c r="Q40"/>
  <c r="O40" l="1"/>
</calcChain>
</file>

<file path=xl/comments1.xml><?xml version="1.0" encoding="utf-8"?>
<comments xmlns="http://schemas.openxmlformats.org/spreadsheetml/2006/main">
  <authors>
    <author>Suresh Salian</author>
  </authors>
  <commentList>
    <comment ref="H46" authorId="0">
      <text>
        <r>
          <rPr>
            <b/>
            <sz val="8"/>
            <color indexed="81"/>
            <rFont val="Tahoma"/>
            <family val="2"/>
          </rPr>
          <t>Suresh Salian:</t>
        </r>
        <r>
          <rPr>
            <sz val="8"/>
            <color indexed="81"/>
            <rFont val="Tahoma"/>
            <family val="2"/>
          </rPr>
          <t xml:space="preserve">
</t>
        </r>
      </text>
    </comment>
  </commentList>
</comments>
</file>

<file path=xl/sharedStrings.xml><?xml version="1.0" encoding="utf-8"?>
<sst xmlns="http://schemas.openxmlformats.org/spreadsheetml/2006/main" count="282" uniqueCount="204">
  <si>
    <t>Particulars</t>
  </si>
  <si>
    <t>Quarter Ended</t>
  </si>
  <si>
    <t>Unaudited</t>
  </si>
  <si>
    <t>Year ended</t>
  </si>
  <si>
    <t>Audited</t>
  </si>
  <si>
    <t>31.03.2007</t>
  </si>
  <si>
    <t>Sr. No.</t>
  </si>
  <si>
    <t>CONSOLIDATED WITH WOS</t>
  </si>
  <si>
    <t>BSEL INFRASTRUCTURE REALTY LIMITED</t>
  </si>
  <si>
    <t>(Rs. In Lacs)</t>
  </si>
  <si>
    <t>Net sales/Income from Operation</t>
  </si>
  <si>
    <t>Other Income</t>
  </si>
  <si>
    <t>Total Income</t>
  </si>
  <si>
    <t>Expenditure</t>
  </si>
  <si>
    <t>a.  Increase/decrease in stock in trade and work in progress</t>
  </si>
  <si>
    <t>b.  Consumption of raw materials</t>
  </si>
  <si>
    <t>d.  Employyes cost</t>
  </si>
  <si>
    <t>e.  Depreciation</t>
  </si>
  <si>
    <t>g.  Total</t>
  </si>
  <si>
    <t>Interest</t>
  </si>
  <si>
    <t>Exceptional Items</t>
  </si>
  <si>
    <t>Profit from ordinary activities before tax (3)-(4+5+6)</t>
  </si>
  <si>
    <t>Tax Expenses</t>
  </si>
  <si>
    <t>Net profit from Ordinary activities after Tax (7-8)</t>
  </si>
  <si>
    <t>Extraordinary Items (net of Tax Exps.)</t>
  </si>
  <si>
    <t>Paid-up equity share capital (face value of the share shall be indicated)</t>
  </si>
  <si>
    <t>Reserves excluding Revaluation reserves as per Balancesheet of previous accounting year</t>
  </si>
  <si>
    <t>Earnings per share</t>
  </si>
  <si>
    <t>Net Profit for the period (9-10)</t>
  </si>
  <si>
    <t>c.  Purchase of traded goods(prof.cgs)</t>
  </si>
  <si>
    <t>a)  Basic &amp; Diluted EPS before extraordinary items for the period, for the year to date and for the previous year (not to be annualized)</t>
  </si>
  <si>
    <t>b)  Basic &amp; Diluted EPS before extraordinary items for the period, for the year to date and for the previous year (not to be annualized)</t>
  </si>
  <si>
    <t>Public Shareholding</t>
  </si>
  <si>
    <t xml:space="preserve"> - Percentage of Shareholding</t>
  </si>
  <si>
    <t xml:space="preserve"> - No. of Shares</t>
  </si>
  <si>
    <t xml:space="preserve">As per explanation to clause 40A, </t>
  </si>
  <si>
    <t>The term “public shareholding” shall exclude –</t>
  </si>
  <si>
    <t>(a) shares held by promoters and promoter group; and</t>
  </si>
  <si>
    <t>(b) shares which are held by custodians and against which depository</t>
  </si>
  <si>
    <t>receipts are issued overseas.</t>
  </si>
  <si>
    <t>UNAUDITED FINANCIAL RESULTS FOR THE QUARTER AND NINE MONTHS ENDED 31ST DECEMBER 2007</t>
  </si>
  <si>
    <t>31.12.2007</t>
  </si>
  <si>
    <t>31.12.2006</t>
  </si>
  <si>
    <t>Nine Months Ended</t>
  </si>
  <si>
    <t>STANDALONE</t>
  </si>
  <si>
    <t>Notes:</t>
  </si>
  <si>
    <t>The segment wise details as per Accounting Standard 17 is not applicable as there are no segments.</t>
  </si>
  <si>
    <t>The Standalone results are available on the website of the Company www.bsel.com and website of the BSE, NSE.</t>
  </si>
  <si>
    <t>f.  Other expenditure*</t>
  </si>
  <si>
    <t>* any expenditure exceeding 10% of the total expenditure to be shiwn separately</t>
  </si>
  <si>
    <t>Financial Year Ended</t>
  </si>
  <si>
    <t>b)  Basic &amp; Diluted EPS after extraordinary items for the period, for the year to date and for the previous year (not to be annualized)</t>
  </si>
  <si>
    <t>b.  Consumption of Raw Materials</t>
  </si>
  <si>
    <t>Paid-up equity share capital (face value Rs. 10/- each fully paid up)</t>
  </si>
  <si>
    <t>Reserves excluding Revaluation Reserves</t>
  </si>
  <si>
    <t>Previous Year's and previous quarter's figures have been regrouped and rearranged wherever necessary.</t>
  </si>
  <si>
    <t>For BSEL Infrastructure Realty Limited</t>
  </si>
  <si>
    <t>30.09.2008</t>
  </si>
  <si>
    <t>30.09.2007</t>
  </si>
  <si>
    <t>Half Year Ended</t>
  </si>
  <si>
    <t>Profit from Operations before Other Income, Interest &amp; Exceptional Items (1)-(2)</t>
  </si>
  <si>
    <t>a.  (Increase)/Decrease in stock in trade and work in progress</t>
  </si>
  <si>
    <t>b. Other Operating Income</t>
  </si>
  <si>
    <t>a. Net Sales/Income From Operation</t>
  </si>
  <si>
    <t>1.</t>
  </si>
  <si>
    <t>2.</t>
  </si>
  <si>
    <t>3.</t>
  </si>
  <si>
    <t>4.</t>
  </si>
  <si>
    <t>5.</t>
  </si>
  <si>
    <t>31.12.2008</t>
  </si>
  <si>
    <t>Place : Navi Mumbai</t>
  </si>
  <si>
    <t>Net Profit/ ( Loss)  for the period (11)-(12)</t>
  </si>
  <si>
    <t>Net profit/ (Loss)  from Ordinary Activities After Tax (9)- (10)</t>
  </si>
  <si>
    <t>Profit/ (Loss)  from Ordinary Activities Before Tax (7)+(8)</t>
  </si>
  <si>
    <t>Profit/ (Loss)  after Interest but before Exceptional Items (5)-(6)</t>
  </si>
  <si>
    <t>Profit/ (Loss) before Interest &amp; Exceptional Items (3)+(4)</t>
  </si>
  <si>
    <t>Nil</t>
  </si>
  <si>
    <t>-Percentage of shares (as a% of the total shareholding of promoter and promoter group)</t>
  </si>
  <si>
    <t>-Percentage of shares (as a % of the total share capital of the company)</t>
  </si>
  <si>
    <t>-Percentage of shares (as a% of the total share capital of the
company)</t>
  </si>
  <si>
    <t>-Percentage of shares (as a % of the total shareholding of promoter and promoter group)</t>
  </si>
  <si>
    <t>a) Pledged/Encumbered Number of shares</t>
  </si>
  <si>
    <t>b) Non-encumbered Number of shares</t>
  </si>
  <si>
    <t>Promoters and promoter group
 Shareholding</t>
  </si>
  <si>
    <t>(Rupees in Lacs except for shares and earning per share)</t>
  </si>
  <si>
    <t>CONSOLIDATED</t>
  </si>
  <si>
    <t>Priya Singhal                                      Dharmendra Raichura</t>
  </si>
  <si>
    <t>Company Secretary                          Managing Director</t>
  </si>
  <si>
    <t>30.06.2009</t>
  </si>
  <si>
    <t>c.  Purchase of Traded Goods</t>
  </si>
  <si>
    <t>BSEL INFRASTRUCTURE REALTY LTD.</t>
  </si>
  <si>
    <t>30.06.2010</t>
  </si>
  <si>
    <t>31.03.2010</t>
  </si>
  <si>
    <t>Total Operating Income (a+b )</t>
  </si>
  <si>
    <t>f.  Depreciation</t>
  </si>
  <si>
    <t>h. Bad Debts</t>
  </si>
  <si>
    <t>Total Expenditure (a to h)</t>
  </si>
  <si>
    <t>c.  Professional Fees</t>
  </si>
  <si>
    <t>d.  Brokerage &amp; Commission</t>
  </si>
  <si>
    <t>e.  Employees Cost</t>
  </si>
  <si>
    <t>g. Other Expenditure</t>
  </si>
  <si>
    <t>a.Provison for Taxation</t>
  </si>
  <si>
    <t>b.Deferred Tax Provison</t>
  </si>
  <si>
    <t>Total Tax Expenses (a+b)</t>
  </si>
  <si>
    <t>Dharmendra Raichura</t>
  </si>
  <si>
    <t>Managing Director &amp; Compliance Officer</t>
  </si>
  <si>
    <t>UNAUDITED FINANCIAL RESULTS FOR THE QUARTER ENDED 30TH JUNE, 2010</t>
  </si>
  <si>
    <t>BSEL INFRASTRUCTURE REALTY (FZE)</t>
  </si>
  <si>
    <t>SR.</t>
  </si>
  <si>
    <t>FIGURE IN AED</t>
  </si>
  <si>
    <t>INR Lacs</t>
  </si>
  <si>
    <t>NO.</t>
  </si>
  <si>
    <t>PARTICULARS</t>
  </si>
  <si>
    <t>FOR WOS</t>
  </si>
  <si>
    <t>01.4.09 to</t>
  </si>
  <si>
    <t>30.06.09</t>
  </si>
  <si>
    <t xml:space="preserve"> </t>
  </si>
  <si>
    <t>Income from operation</t>
  </si>
  <si>
    <t xml:space="preserve">TOTAL INCOME </t>
  </si>
  <si>
    <t>Total Expenditure ("a" to "f" )</t>
  </si>
  <si>
    <t>a. (Increase)/Decrease in stock in trade and work in progress</t>
  </si>
  <si>
    <t xml:space="preserve">b. Consumption of Raw Materials </t>
  </si>
  <si>
    <t xml:space="preserve"> c. Professional Fees</t>
  </si>
  <si>
    <t>d. Brokerage &amp; Commission</t>
  </si>
  <si>
    <t>c. Employees Cost</t>
  </si>
  <si>
    <t>d. Depreciation</t>
  </si>
  <si>
    <t>e. Other expenditure</t>
  </si>
  <si>
    <t>Exceptional Items- Loss from Subsidiary</t>
  </si>
  <si>
    <t>Profit(+)/Loss(-) before tax (3-4-5-6)</t>
  </si>
  <si>
    <t>Provision for Tax</t>
  </si>
  <si>
    <t>Net Profit (+)/ Loss (-) (7-8)</t>
  </si>
  <si>
    <t>Paid up Equity Share Capital (face value of Rs. 10/- each fully paid)</t>
  </si>
  <si>
    <t>Reserve excluding revaluation reserves</t>
  </si>
  <si>
    <t>Basic and diluted EPS (Not Annualised)</t>
  </si>
  <si>
    <t>Aggregate of Non-Promoter Shareholding</t>
  </si>
  <si>
    <t>- Number of Shares</t>
  </si>
  <si>
    <t>- Percentage of Shareholding</t>
  </si>
  <si>
    <t>Note : Conversion rate for  1 AED = 11.08465 INR FOR JUNE QTR</t>
  </si>
  <si>
    <t>Note : Conversion rate for  1 AED = 10.83789 INR FOR SEPT QTR</t>
  </si>
  <si>
    <t>Q1 - 30.06.10</t>
  </si>
  <si>
    <t>01.4.10 to</t>
  </si>
  <si>
    <t>30.06.10</t>
  </si>
  <si>
    <t>UNAUDITED FINANCIAL RESULTS FOR THE QUARTER ENDED 30th June,2010</t>
  </si>
  <si>
    <t>Date   : 11-08-2010</t>
  </si>
  <si>
    <t xml:space="preserve">There were no investors' complaints pending at the beginning of the quarter.(Nil) complaint was received during the quarter. Nil complaint was pending at the end of the quarter. </t>
  </si>
  <si>
    <t xml:space="preserve">STAND ALONE </t>
  </si>
  <si>
    <t>Total</t>
  </si>
  <si>
    <t>Sundry Expenses</t>
  </si>
  <si>
    <t>Share of Loss From Subsidiary</t>
  </si>
  <si>
    <t>Depreciation</t>
  </si>
  <si>
    <t>Visa Expenses</t>
  </si>
  <si>
    <t>Travelling Expenses</t>
  </si>
  <si>
    <t>RENT</t>
  </si>
  <si>
    <t>Professional Fees</t>
  </si>
  <si>
    <t>OFFICE EXPENSES</t>
  </si>
  <si>
    <t>Nett Loss</t>
  </si>
  <si>
    <t>Transfer Charges</t>
  </si>
  <si>
    <t>Indirect Exp</t>
  </si>
  <si>
    <t>Project Investment Income</t>
  </si>
  <si>
    <t>General Exp</t>
  </si>
  <si>
    <t>CRM Development Exp</t>
  </si>
  <si>
    <t>Late Payment Fee</t>
  </si>
  <si>
    <t>CAR EXPENSES</t>
  </si>
  <si>
    <t>Interest on F.D.</t>
  </si>
  <si>
    <t>Brokerage &amp; Incentive for All Towers</t>
  </si>
  <si>
    <t>Advertisment/Marketing Expenses</t>
  </si>
  <si>
    <t>Foreign Ex. Gain &amp; Loss</t>
  </si>
  <si>
    <t>Salary</t>
  </si>
  <si>
    <t>Cheque Dishhounered Charges</t>
  </si>
  <si>
    <t>Exhibitions</t>
  </si>
  <si>
    <t>Cancellation of Sales Charges</t>
  </si>
  <si>
    <t>Indirect Expenses</t>
  </si>
  <si>
    <t>Indirect Incomes</t>
  </si>
  <si>
    <t>Gross Profit b/f</t>
  </si>
  <si>
    <t>Gross Profit c/o</t>
  </si>
  <si>
    <t>Sale of Stock Expenses</t>
  </si>
  <si>
    <t>JV Projects Income</t>
  </si>
  <si>
    <t>JV Project Expenses</t>
  </si>
  <si>
    <t>Closing Stock</t>
  </si>
  <si>
    <t>D-14 Expenses</t>
  </si>
  <si>
    <t>Direct Incomes</t>
  </si>
  <si>
    <t>D-13 Expenses</t>
  </si>
  <si>
    <t>Sales Other Projects</t>
  </si>
  <si>
    <t>Brokerage and Commission</t>
  </si>
  <si>
    <t>Sales Adjustment</t>
  </si>
  <si>
    <t>Direct Expenses</t>
  </si>
  <si>
    <t>Sale for Sapphire</t>
  </si>
  <si>
    <t>Purchase</t>
  </si>
  <si>
    <t>Sale for Pearl</t>
  </si>
  <si>
    <t>Opening Stock 1-4-8</t>
  </si>
  <si>
    <t>Sale for Molek Pine(Malaysia)</t>
  </si>
  <si>
    <t>Opening Stock 1.4.07</t>
  </si>
  <si>
    <t>Sale for Kahraman</t>
  </si>
  <si>
    <t>Cost of Sales</t>
  </si>
  <si>
    <t>Sale for Fayrooz</t>
  </si>
  <si>
    <t>Closing Stock 31-3-9</t>
  </si>
  <si>
    <t>Sale for Emerald</t>
  </si>
  <si>
    <t>Closing Stock 31-3-8</t>
  </si>
  <si>
    <t>Sales Accounts</t>
  </si>
  <si>
    <t>Purchase Accounts</t>
  </si>
  <si>
    <t>1-Apr-2010 to 30-Jun-2010</t>
  </si>
  <si>
    <t>BSEL Infrastructure Realty (FZE)</t>
  </si>
  <si>
    <t>The above results have been taken on record by the Audit Committee and Board of Directors at their meeting held on August 11, 2010 and the limited review has been carrried out by the statutory auditors of the company.</t>
  </si>
  <si>
    <t>Reviewed</t>
  </si>
</sst>
</file>

<file path=xl/styles.xml><?xml version="1.0" encoding="utf-8"?>
<styleSheet xmlns="http://schemas.openxmlformats.org/spreadsheetml/2006/main">
  <numFmts count="4">
    <numFmt numFmtId="41" formatCode="_(* #,##0_);_(* \(#,##0\);_(* &quot;-&quot;_);_(@_)"/>
    <numFmt numFmtId="43" formatCode="_(* #,##0.00_);_(* \(#,##0.00\);_(* &quot;-&quot;??_);_(@_)"/>
    <numFmt numFmtId="164" formatCode="_(* #,##0_);_(* \(#,##0\);_(* &quot;-&quot;??_);_(@_)"/>
    <numFmt numFmtId="165" formatCode="&quot;&quot;0.00"/>
  </numFmts>
  <fonts count="41">
    <font>
      <sz val="10"/>
      <name val="Arial"/>
    </font>
    <font>
      <sz val="11"/>
      <color theme="1"/>
      <name val="Calibri"/>
      <family val="2"/>
      <scheme val="minor"/>
    </font>
    <font>
      <sz val="10"/>
      <name val="Arial"/>
      <family val="2"/>
    </font>
    <font>
      <b/>
      <sz val="10"/>
      <name val="Arial"/>
      <family val="2"/>
    </font>
    <font>
      <sz val="8"/>
      <name val="Arial"/>
      <family val="2"/>
    </font>
    <font>
      <sz val="10"/>
      <name val="Arial"/>
      <family val="2"/>
    </font>
    <font>
      <sz val="11"/>
      <color indexed="8"/>
      <name val="Calibri"/>
      <family val="2"/>
    </font>
    <font>
      <b/>
      <sz val="11"/>
      <name val="Calibri"/>
      <family val="2"/>
    </font>
    <font>
      <sz val="11"/>
      <name val="Calibri"/>
      <family val="2"/>
    </font>
    <font>
      <sz val="8"/>
      <name val="Arial"/>
      <family val="2"/>
    </font>
    <font>
      <b/>
      <sz val="22"/>
      <name val="Calibri"/>
      <family val="2"/>
    </font>
    <font>
      <b/>
      <sz val="20"/>
      <name val="Calibri"/>
      <family val="2"/>
    </font>
    <font>
      <sz val="10"/>
      <name val="Calibri"/>
      <family val="2"/>
    </font>
    <font>
      <b/>
      <sz val="13"/>
      <name val="Calibri"/>
      <family val="2"/>
    </font>
    <font>
      <b/>
      <sz val="10"/>
      <name val="Calibri"/>
      <family val="2"/>
    </font>
    <font>
      <sz val="10"/>
      <color indexed="8"/>
      <name val="Calibri"/>
      <family val="2"/>
    </font>
    <font>
      <sz val="12"/>
      <name val="Calibri"/>
      <family val="2"/>
    </font>
    <font>
      <b/>
      <sz val="11"/>
      <name val="Calibri"/>
      <family val="2"/>
    </font>
    <font>
      <sz val="11"/>
      <name val="Calibri"/>
      <family val="2"/>
    </font>
    <font>
      <b/>
      <sz val="10"/>
      <name val="Calibri"/>
      <family val="2"/>
    </font>
    <font>
      <sz val="10"/>
      <color indexed="8"/>
      <name val="Arial"/>
      <family val="2"/>
    </font>
    <font>
      <sz val="8"/>
      <color indexed="81"/>
      <name val="Tahoma"/>
      <family val="2"/>
    </font>
    <font>
      <b/>
      <sz val="8"/>
      <color indexed="81"/>
      <name val="Tahoma"/>
      <family val="2"/>
    </font>
    <font>
      <b/>
      <sz val="11.5"/>
      <name val="Calibri"/>
      <family val="2"/>
    </font>
    <font>
      <sz val="11.5"/>
      <name val="Calibri"/>
      <family val="2"/>
    </font>
    <font>
      <b/>
      <sz val="14"/>
      <name val="Century Gothic"/>
      <family val="2"/>
    </font>
    <font>
      <sz val="14"/>
      <name val="Arial"/>
      <family val="2"/>
    </font>
    <font>
      <b/>
      <sz val="13"/>
      <name val="Arial"/>
      <family val="2"/>
    </font>
    <font>
      <b/>
      <sz val="14"/>
      <name val="Arial"/>
      <family val="2"/>
    </font>
    <font>
      <b/>
      <sz val="11.05"/>
      <name val="Century Gothic"/>
      <family val="2"/>
    </font>
    <font>
      <b/>
      <sz val="11.05"/>
      <name val="Arial"/>
      <family val="2"/>
    </font>
    <font>
      <sz val="11.05"/>
      <name val="Arial"/>
      <family val="2"/>
    </font>
    <font>
      <sz val="14"/>
      <name val="Century Gothic"/>
      <family val="2"/>
    </font>
    <font>
      <sz val="14"/>
      <color indexed="8"/>
      <name val="Century Gothic"/>
      <family val="2"/>
    </font>
    <font>
      <b/>
      <sz val="12"/>
      <name val="Arial"/>
      <family val="2"/>
    </font>
    <font>
      <b/>
      <sz val="9"/>
      <color theme="1"/>
      <name val="Arial"/>
      <family val="2"/>
    </font>
    <font>
      <i/>
      <sz val="9"/>
      <color theme="1"/>
      <name val="Arial"/>
      <family val="2"/>
    </font>
    <font>
      <sz val="10"/>
      <color theme="1"/>
      <name val="Arial"/>
      <family val="2"/>
    </font>
    <font>
      <sz val="9"/>
      <color theme="1"/>
      <name val="Arial"/>
      <family val="2"/>
    </font>
    <font>
      <b/>
      <i/>
      <sz val="9"/>
      <color theme="1"/>
      <name val="Arial"/>
      <family val="2"/>
    </font>
    <font>
      <b/>
      <sz val="10"/>
      <color theme="1"/>
      <name val="Arial"/>
      <family val="2"/>
    </font>
  </fonts>
  <fills count="3">
    <fill>
      <patternFill patternType="none"/>
    </fill>
    <fill>
      <patternFill patternType="gray125"/>
    </fill>
    <fill>
      <patternFill patternType="solid">
        <fgColor theme="7"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theme="1"/>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indexed="64"/>
      </left>
      <right style="thin">
        <color theme="1"/>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0"/>
      </top>
      <bottom style="thin">
        <color indexed="64"/>
      </bottom>
      <diagonal/>
    </border>
    <border>
      <left/>
      <right/>
      <top style="thin">
        <color indexed="0"/>
      </top>
      <bottom style="thin">
        <color indexed="64"/>
      </bottom>
      <diagonal/>
    </border>
    <border>
      <left/>
      <right/>
      <top style="thin">
        <color indexed="64"/>
      </top>
      <bottom/>
      <diagonal/>
    </border>
  </borders>
  <cellStyleXfs count="9">
    <xf numFmtId="0" fontId="0" fillId="0" borderId="0"/>
    <xf numFmtId="43" fontId="2" fillId="0" borderId="0" applyFont="0" applyFill="0" applyBorder="0" applyAlignment="0" applyProtection="0"/>
    <xf numFmtId="41" fontId="2" fillId="0" borderId="0" applyFont="0" applyFill="0" applyBorder="0" applyAlignment="0" applyProtection="0"/>
    <xf numFmtId="9" fontId="2" fillId="0" borderId="0" applyFont="0" applyFill="0" applyBorder="0" applyAlignment="0" applyProtection="0"/>
    <xf numFmtId="41"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1" fillId="0" borderId="0"/>
  </cellStyleXfs>
  <cellXfs count="211">
    <xf numFmtId="0" fontId="0" fillId="0" borderId="0" xfId="0"/>
    <xf numFmtId="0" fontId="0" fillId="0" borderId="0" xfId="0" applyAlignment="1">
      <alignment horizontal="center"/>
    </xf>
    <xf numFmtId="0" fontId="0" fillId="0" borderId="0" xfId="0" applyAlignment="1">
      <alignment wrapText="1"/>
    </xf>
    <xf numFmtId="0" fontId="0" fillId="0" borderId="0" xfId="0" applyAlignment="1">
      <alignment vertical="justify"/>
    </xf>
    <xf numFmtId="0" fontId="0" fillId="0" borderId="0" xfId="0" applyAlignment="1">
      <alignment vertical="top" wrapText="1"/>
    </xf>
    <xf numFmtId="2" fontId="0" fillId="0" borderId="0" xfId="0" applyNumberFormat="1"/>
    <xf numFmtId="0" fontId="8" fillId="0" borderId="0" xfId="0" applyFont="1"/>
    <xf numFmtId="0" fontId="8" fillId="0" borderId="1" xfId="0" applyFont="1" applyBorder="1"/>
    <xf numFmtId="0" fontId="7" fillId="0" borderId="1" xfId="0" applyFont="1" applyBorder="1"/>
    <xf numFmtId="43" fontId="7" fillId="0" borderId="1" xfId="1" applyFont="1" applyBorder="1"/>
    <xf numFmtId="0" fontId="8" fillId="0" borderId="1" xfId="0" applyFont="1" applyBorder="1" applyAlignment="1">
      <alignment wrapText="1"/>
    </xf>
    <xf numFmtId="0" fontId="8" fillId="0" borderId="1" xfId="0" applyFont="1" applyFill="1" applyBorder="1"/>
    <xf numFmtId="0" fontId="7" fillId="0" borderId="1" xfId="0" applyFont="1" applyBorder="1" applyAlignment="1">
      <alignment vertical="top" wrapText="1"/>
    </xf>
    <xf numFmtId="0" fontId="7" fillId="0" borderId="1" xfId="0" applyFont="1" applyBorder="1" applyAlignment="1">
      <alignment vertical="justify"/>
    </xf>
    <xf numFmtId="0" fontId="8" fillId="0" borderId="1" xfId="0" applyFont="1" applyBorder="1" applyAlignment="1">
      <alignment vertical="top" wrapText="1"/>
    </xf>
    <xf numFmtId="0" fontId="8" fillId="0" borderId="1" xfId="0" applyFont="1" applyFill="1" applyBorder="1" applyAlignment="1">
      <alignment wrapText="1"/>
    </xf>
    <xf numFmtId="0" fontId="6" fillId="0" borderId="0" xfId="0" applyFont="1" applyAlignment="1">
      <alignment horizontal="left" wrapText="1"/>
    </xf>
    <xf numFmtId="0" fontId="7" fillId="0" borderId="0" xfId="0" applyFont="1"/>
    <xf numFmtId="0" fontId="11" fillId="0" borderId="0" xfId="0" applyFont="1" applyAlignment="1"/>
    <xf numFmtId="0" fontId="12" fillId="0" borderId="0" xfId="0" applyFont="1"/>
    <xf numFmtId="0" fontId="12" fillId="0" borderId="0" xfId="0" applyFont="1" applyAlignment="1">
      <alignment horizontal="center"/>
    </xf>
    <xf numFmtId="0" fontId="12" fillId="0" borderId="0" xfId="0" applyFont="1" applyAlignment="1">
      <alignment horizontal="left"/>
    </xf>
    <xf numFmtId="43" fontId="12" fillId="0" borderId="0" xfId="1" applyFont="1"/>
    <xf numFmtId="0" fontId="14" fillId="0" borderId="0" xfId="0" applyFont="1" applyAlignment="1">
      <alignment horizontal="left"/>
    </xf>
    <xf numFmtId="0" fontId="12" fillId="0" borderId="0" xfId="0" applyFont="1" applyAlignment="1"/>
    <xf numFmtId="43" fontId="15" fillId="0" borderId="0" xfId="1" applyFont="1"/>
    <xf numFmtId="43" fontId="12" fillId="0" borderId="0" xfId="1" applyFont="1" applyAlignment="1">
      <alignment horizontal="right"/>
    </xf>
    <xf numFmtId="0" fontId="12" fillId="0" borderId="0" xfId="0" applyFont="1" applyAlignment="1">
      <alignment vertical="top"/>
    </xf>
    <xf numFmtId="0" fontId="16" fillId="0" borderId="0" xfId="0" applyFont="1"/>
    <xf numFmtId="0" fontId="14" fillId="0" borderId="0" xfId="0" applyFont="1"/>
    <xf numFmtId="0" fontId="7" fillId="0" borderId="0" xfId="0" applyFont="1" applyAlignment="1">
      <alignment horizontal="left"/>
    </xf>
    <xf numFmtId="0" fontId="7" fillId="0" borderId="1" xfId="0" applyFont="1" applyBorder="1" applyAlignment="1">
      <alignment wrapText="1"/>
    </xf>
    <xf numFmtId="43" fontId="17" fillId="0" borderId="1" xfId="1" applyFont="1" applyBorder="1"/>
    <xf numFmtId="43" fontId="18" fillId="0" borderId="1" xfId="1" applyFont="1" applyBorder="1"/>
    <xf numFmtId="43" fontId="19" fillId="0" borderId="1" xfId="1" applyFont="1" applyBorder="1" applyAlignment="1">
      <alignment horizontal="left"/>
    </xf>
    <xf numFmtId="43" fontId="17" fillId="0" borderId="1" xfId="1" applyFont="1" applyBorder="1" applyAlignment="1">
      <alignment horizontal="left"/>
    </xf>
    <xf numFmtId="41" fontId="18" fillId="0" borderId="1" xfId="2" applyFont="1" applyBorder="1"/>
    <xf numFmtId="10" fontId="18" fillId="0" borderId="1" xfId="3" applyNumberFormat="1" applyFont="1" applyBorder="1"/>
    <xf numFmtId="164" fontId="18" fillId="0" borderId="1" xfId="1" applyNumberFormat="1" applyFont="1" applyBorder="1"/>
    <xf numFmtId="10" fontId="18" fillId="0" borderId="1" xfId="1" applyNumberFormat="1" applyFont="1" applyBorder="1"/>
    <xf numFmtId="0" fontId="15" fillId="0" borderId="0" xfId="0" applyFont="1" applyAlignment="1">
      <alignment horizontal="left" wrapText="1"/>
    </xf>
    <xf numFmtId="0" fontId="0" fillId="0" borderId="0" xfId="0" applyAlignment="1"/>
    <xf numFmtId="0" fontId="12" fillId="0" borderId="0" xfId="0" quotePrefix="1" applyFont="1" applyAlignment="1">
      <alignment horizontal="right" vertical="top"/>
    </xf>
    <xf numFmtId="0" fontId="12" fillId="0" borderId="0" xfId="0" applyFont="1" applyAlignment="1">
      <alignment horizontal="right" vertical="top"/>
    </xf>
    <xf numFmtId="0" fontId="12" fillId="0" borderId="0" xfId="0" quotePrefix="1" applyFont="1" applyAlignment="1">
      <alignment horizontal="right"/>
    </xf>
    <xf numFmtId="43" fontId="17" fillId="0" borderId="1" xfId="1" applyFont="1" applyFill="1" applyBorder="1"/>
    <xf numFmtId="0" fontId="18" fillId="0" borderId="1" xfId="0" applyFont="1" applyBorder="1"/>
    <xf numFmtId="43" fontId="18" fillId="0" borderId="1" xfId="1" applyFont="1" applyFill="1" applyBorder="1"/>
    <xf numFmtId="43" fontId="17" fillId="0" borderId="1" xfId="1" applyFont="1" applyFill="1" applyBorder="1" applyAlignment="1">
      <alignment horizontal="left"/>
    </xf>
    <xf numFmtId="41" fontId="18" fillId="0" borderId="1" xfId="2" applyFont="1" applyFill="1" applyBorder="1"/>
    <xf numFmtId="10" fontId="18" fillId="0" borderId="1" xfId="3" applyNumberFormat="1" applyFont="1" applyFill="1" applyBorder="1"/>
    <xf numFmtId="43" fontId="7" fillId="0" borderId="1" xfId="1" applyFont="1" applyFill="1" applyBorder="1" applyAlignment="1">
      <alignment horizontal="center"/>
    </xf>
    <xf numFmtId="41" fontId="18" fillId="0" borderId="1" xfId="2" applyFont="1" applyFill="1" applyBorder="1" applyAlignment="1">
      <alignment horizontal="center"/>
    </xf>
    <xf numFmtId="10" fontId="18" fillId="0" borderId="1" xfId="0" applyNumberFormat="1" applyFont="1" applyFill="1" applyBorder="1" applyAlignment="1">
      <alignment horizontal="right"/>
    </xf>
    <xf numFmtId="43" fontId="18" fillId="0" borderId="1" xfId="1" applyFont="1" applyFill="1" applyBorder="1" applyAlignment="1">
      <alignment horizontal="left"/>
    </xf>
    <xf numFmtId="0" fontId="5" fillId="0" borderId="0" xfId="0" applyFont="1" applyAlignment="1">
      <alignment horizontal="left" wrapText="1"/>
    </xf>
    <xf numFmtId="0" fontId="5" fillId="0" borderId="0" xfId="0" applyFont="1"/>
    <xf numFmtId="43" fontId="18" fillId="0" borderId="0" xfId="1" applyFont="1" applyFill="1" applyBorder="1" applyAlignment="1">
      <alignment horizontal="left"/>
    </xf>
    <xf numFmtId="43" fontId="18" fillId="0" borderId="3" xfId="1" applyFont="1" applyFill="1" applyBorder="1" applyAlignment="1">
      <alignment horizontal="left"/>
    </xf>
    <xf numFmtId="43" fontId="18" fillId="0" borderId="4" xfId="1" applyFont="1" applyFill="1" applyBorder="1" applyAlignment="1">
      <alignment horizontal="left"/>
    </xf>
    <xf numFmtId="43" fontId="7" fillId="0" borderId="11" xfId="1" applyFont="1" applyFill="1" applyBorder="1" applyAlignment="1">
      <alignment horizontal="center"/>
    </xf>
    <xf numFmtId="43" fontId="17" fillId="0" borderId="11" xfId="1" applyFont="1" applyFill="1" applyBorder="1"/>
    <xf numFmtId="0" fontId="0" fillId="0" borderId="0" xfId="0" applyAlignment="1">
      <alignment horizontal="left" wrapText="1"/>
    </xf>
    <xf numFmtId="0" fontId="20" fillId="0" borderId="0" xfId="0" applyFont="1" applyAlignment="1">
      <alignment horizontal="left" wrapText="1"/>
    </xf>
    <xf numFmtId="10" fontId="18" fillId="0" borderId="0" xfId="1" applyNumberFormat="1" applyFont="1" applyBorder="1"/>
    <xf numFmtId="10" fontId="18" fillId="0" borderId="0" xfId="0" applyNumberFormat="1" applyFont="1" applyFill="1" applyBorder="1" applyAlignment="1">
      <alignment horizontal="right"/>
    </xf>
    <xf numFmtId="10" fontId="18" fillId="0" borderId="0" xfId="3" applyNumberFormat="1" applyFont="1" applyFill="1" applyBorder="1"/>
    <xf numFmtId="0" fontId="8" fillId="0" borderId="0" xfId="0" applyFont="1" applyFill="1" applyBorder="1"/>
    <xf numFmtId="10" fontId="18" fillId="0" borderId="0" xfId="3" applyNumberFormat="1" applyFont="1" applyBorder="1"/>
    <xf numFmtId="0" fontId="8" fillId="0" borderId="1" xfId="0" applyFont="1" applyFill="1" applyBorder="1" applyAlignment="1">
      <alignment vertical="top"/>
    </xf>
    <xf numFmtId="0" fontId="8" fillId="0" borderId="1" xfId="0" applyFont="1" applyFill="1" applyBorder="1" applyAlignment="1"/>
    <xf numFmtId="43" fontId="8" fillId="0" borderId="1" xfId="1" applyFont="1" applyFill="1" applyBorder="1" applyAlignment="1">
      <alignment horizontal="center"/>
    </xf>
    <xf numFmtId="49" fontId="8" fillId="0" borderId="1" xfId="0" applyNumberFormat="1" applyFont="1" applyFill="1" applyBorder="1" applyAlignment="1">
      <alignment wrapText="1"/>
    </xf>
    <xf numFmtId="9" fontId="18" fillId="0" borderId="1" xfId="3" applyNumberFormat="1" applyFont="1" applyFill="1" applyBorder="1"/>
    <xf numFmtId="164" fontId="18" fillId="0" borderId="1" xfId="1" applyNumberFormat="1" applyFont="1" applyFill="1" applyBorder="1"/>
    <xf numFmtId="164" fontId="18" fillId="0" borderId="1" xfId="3" applyNumberFormat="1" applyFont="1" applyFill="1" applyBorder="1"/>
    <xf numFmtId="164" fontId="18" fillId="0" borderId="1" xfId="0" applyNumberFormat="1" applyFont="1" applyFill="1" applyBorder="1" applyAlignment="1">
      <alignment horizontal="right"/>
    </xf>
    <xf numFmtId="0" fontId="12" fillId="0" borderId="0" xfId="0" applyFont="1" applyBorder="1"/>
    <xf numFmtId="49" fontId="8" fillId="0" borderId="1" xfId="0" applyNumberFormat="1" applyFont="1" applyFill="1" applyBorder="1" applyAlignment="1">
      <alignment vertical="top" wrapText="1"/>
    </xf>
    <xf numFmtId="0" fontId="7" fillId="0" borderId="1" xfId="0" applyFont="1" applyBorder="1" applyAlignment="1">
      <alignment vertical="top"/>
    </xf>
    <xf numFmtId="49" fontId="8" fillId="0" borderId="0" xfId="0" applyNumberFormat="1" applyFont="1" applyFill="1" applyBorder="1" applyAlignment="1">
      <alignment wrapText="1"/>
    </xf>
    <xf numFmtId="43" fontId="7" fillId="0" borderId="3" xfId="1" applyFont="1" applyFill="1" applyBorder="1" applyAlignment="1">
      <alignment horizontal="center" vertical="center" wrapText="1"/>
    </xf>
    <xf numFmtId="43" fontId="7" fillId="0" borderId="1" xfId="1" applyFont="1" applyFill="1" applyBorder="1"/>
    <xf numFmtId="41" fontId="8" fillId="0" borderId="1" xfId="4" applyFont="1" applyFill="1" applyBorder="1" applyAlignment="1">
      <alignment horizontal="center"/>
    </xf>
    <xf numFmtId="10" fontId="8" fillId="0" borderId="1" xfId="5" applyNumberFormat="1" applyFont="1" applyFill="1" applyBorder="1" applyAlignment="1">
      <alignment horizontal="right"/>
    </xf>
    <xf numFmtId="43" fontId="8" fillId="0" borderId="1" xfId="6" applyFont="1" applyFill="1" applyBorder="1" applyAlignment="1">
      <alignment horizontal="center"/>
    </xf>
    <xf numFmtId="164" fontId="8" fillId="0" borderId="1" xfId="7" applyNumberFormat="1" applyFont="1" applyFill="1" applyBorder="1"/>
    <xf numFmtId="9" fontId="8" fillId="0" borderId="1" xfId="7" applyNumberFormat="1" applyFont="1" applyFill="1" applyBorder="1"/>
    <xf numFmtId="10" fontId="8" fillId="0" borderId="1" xfId="7" applyNumberFormat="1" applyFont="1" applyFill="1" applyBorder="1"/>
    <xf numFmtId="43" fontId="7" fillId="0" borderId="1" xfId="1" applyFont="1" applyFill="1" applyBorder="1" applyAlignment="1">
      <alignment horizontal="left"/>
    </xf>
    <xf numFmtId="0" fontId="23" fillId="0" borderId="0" xfId="0" applyFont="1"/>
    <xf numFmtId="0" fontId="24" fillId="0" borderId="0" xfId="0" applyFont="1"/>
    <xf numFmtId="0" fontId="12" fillId="0" borderId="0" xfId="0" applyFont="1" applyAlignment="1">
      <alignment horizontal="left" wrapText="1"/>
    </xf>
    <xf numFmtId="0" fontId="24" fillId="0" borderId="0" xfId="0" applyFont="1" applyAlignment="1"/>
    <xf numFmtId="0" fontId="25" fillId="0" borderId="0" xfId="0" applyFont="1" applyFill="1" applyAlignment="1"/>
    <xf numFmtId="0" fontId="26" fillId="0" borderId="0" xfId="0" applyFont="1"/>
    <xf numFmtId="0" fontId="0" fillId="0" borderId="3" xfId="0" applyFill="1" applyBorder="1"/>
    <xf numFmtId="0" fontId="0" fillId="0" borderId="1" xfId="0" applyFill="1" applyBorder="1"/>
    <xf numFmtId="0" fontId="26" fillId="0" borderId="0" xfId="0" applyFont="1" applyBorder="1"/>
    <xf numFmtId="0" fontId="29" fillId="0" borderId="16" xfId="0" applyFont="1" applyFill="1" applyBorder="1" applyAlignment="1">
      <alignment horizontal="center"/>
    </xf>
    <xf numFmtId="0" fontId="3" fillId="0" borderId="15" xfId="0" applyFont="1" applyFill="1" applyBorder="1" applyAlignment="1">
      <alignment horizontal="center"/>
    </xf>
    <xf numFmtId="0" fontId="30" fillId="0" borderId="16" xfId="0" applyFont="1" applyFill="1" applyBorder="1" applyAlignment="1">
      <alignment horizontal="center"/>
    </xf>
    <xf numFmtId="0" fontId="31" fillId="0" borderId="0" xfId="0" applyFont="1" applyAlignment="1">
      <alignment horizontal="center"/>
    </xf>
    <xf numFmtId="0" fontId="29" fillId="0" borderId="17" xfId="0" applyFont="1" applyFill="1" applyBorder="1" applyAlignment="1">
      <alignment horizontal="center"/>
    </xf>
    <xf numFmtId="0" fontId="29" fillId="0" borderId="17" xfId="0" applyFont="1" applyFill="1" applyBorder="1" applyAlignment="1">
      <alignment horizontal="left"/>
    </xf>
    <xf numFmtId="0" fontId="30" fillId="0" borderId="2" xfId="0" applyFont="1" applyFill="1" applyBorder="1" applyAlignment="1">
      <alignment horizontal="center"/>
    </xf>
    <xf numFmtId="0" fontId="30" fillId="0" borderId="17" xfId="0" applyFont="1" applyFill="1" applyBorder="1" applyAlignment="1">
      <alignment horizontal="center"/>
    </xf>
    <xf numFmtId="0" fontId="29" fillId="0" borderId="4" xfId="0" applyFont="1" applyFill="1" applyBorder="1" applyAlignment="1">
      <alignment horizontal="center"/>
    </xf>
    <xf numFmtId="0" fontId="30" fillId="0" borderId="18" xfId="0" applyFont="1" applyFill="1" applyBorder="1" applyAlignment="1">
      <alignment horizontal="center"/>
    </xf>
    <xf numFmtId="0" fontId="30" fillId="0" borderId="4" xfId="0" applyFont="1" applyFill="1" applyBorder="1" applyAlignment="1">
      <alignment horizontal="center"/>
    </xf>
    <xf numFmtId="0" fontId="32" fillId="0" borderId="1" xfId="0" applyFont="1" applyFill="1" applyBorder="1"/>
    <xf numFmtId="0" fontId="32" fillId="0" borderId="0" xfId="0" applyFont="1" applyFill="1" applyBorder="1"/>
    <xf numFmtId="0" fontId="26" fillId="0" borderId="4" xfId="0" applyFont="1" applyFill="1" applyBorder="1"/>
    <xf numFmtId="0" fontId="0" fillId="0" borderId="4" xfId="0" applyFill="1" applyBorder="1"/>
    <xf numFmtId="0" fontId="32" fillId="0" borderId="3" xfId="0" applyFont="1" applyFill="1" applyBorder="1"/>
    <xf numFmtId="43" fontId="26" fillId="0" borderId="1" xfId="6" applyFont="1" applyFill="1" applyBorder="1"/>
    <xf numFmtId="164" fontId="26" fillId="0" borderId="1" xfId="0" applyNumberFormat="1" applyFont="1" applyFill="1" applyBorder="1"/>
    <xf numFmtId="43" fontId="0" fillId="0" borderId="1" xfId="6" applyFont="1" applyFill="1" applyBorder="1"/>
    <xf numFmtId="0" fontId="25" fillId="0" borderId="1" xfId="0" applyFont="1" applyFill="1" applyBorder="1"/>
    <xf numFmtId="0" fontId="25" fillId="0" borderId="3" xfId="0" applyFont="1" applyFill="1" applyBorder="1"/>
    <xf numFmtId="164" fontId="28" fillId="0" borderId="1" xfId="0" applyNumberFormat="1" applyFont="1" applyFill="1" applyBorder="1"/>
    <xf numFmtId="43" fontId="28" fillId="0" borderId="1" xfId="6" applyFont="1" applyFill="1" applyBorder="1"/>
    <xf numFmtId="0" fontId="3" fillId="0" borderId="0" xfId="0" applyFont="1"/>
    <xf numFmtId="41" fontId="32" fillId="0" borderId="1" xfId="4" applyFont="1" applyFill="1" applyBorder="1"/>
    <xf numFmtId="43" fontId="32" fillId="0" borderId="3" xfId="6" applyFont="1" applyFill="1" applyBorder="1"/>
    <xf numFmtId="43" fontId="26" fillId="0" borderId="1" xfId="6" applyFont="1" applyFill="1" applyBorder="1" applyAlignment="1">
      <alignment horizontal="center"/>
    </xf>
    <xf numFmtId="41" fontId="5" fillId="0" borderId="0" xfId="4"/>
    <xf numFmtId="43" fontId="32" fillId="0" borderId="3" xfId="6" applyFont="1" applyFill="1" applyBorder="1" applyAlignment="1">
      <alignment wrapText="1"/>
    </xf>
    <xf numFmtId="43" fontId="26" fillId="0" borderId="1" xfId="6" applyFont="1" applyFill="1" applyBorder="1" applyAlignment="1">
      <alignment horizontal="right"/>
    </xf>
    <xf numFmtId="43" fontId="5" fillId="0" borderId="1" xfId="6" applyFill="1" applyBorder="1"/>
    <xf numFmtId="0" fontId="32" fillId="0" borderId="3" xfId="0" applyFont="1" applyFill="1" applyBorder="1" applyAlignment="1">
      <alignment wrapText="1"/>
    </xf>
    <xf numFmtId="0" fontId="33" fillId="0" borderId="3" xfId="0" applyFont="1" applyFill="1" applyBorder="1"/>
    <xf numFmtId="0" fontId="33" fillId="0" borderId="1" xfId="0" applyFont="1" applyFill="1" applyBorder="1"/>
    <xf numFmtId="0" fontId="33" fillId="0" borderId="3" xfId="0" quotePrefix="1" applyFont="1" applyFill="1" applyBorder="1"/>
    <xf numFmtId="0" fontId="34" fillId="0" borderId="0" xfId="0" applyFont="1"/>
    <xf numFmtId="0" fontId="27" fillId="2" borderId="6" xfId="0" applyFont="1" applyFill="1" applyBorder="1"/>
    <xf numFmtId="43" fontId="28" fillId="0" borderId="1" xfId="1" applyFont="1" applyFill="1" applyBorder="1"/>
    <xf numFmtId="0" fontId="1" fillId="0" borderId="0" xfId="8"/>
    <xf numFmtId="165" fontId="35" fillId="0" borderId="5" xfId="8" applyNumberFormat="1" applyFont="1" applyBorder="1" applyAlignment="1">
      <alignment horizontal="right" vertical="top"/>
    </xf>
    <xf numFmtId="0" fontId="36" fillId="0" borderId="5" xfId="8" applyFont="1" applyBorder="1" applyAlignment="1">
      <alignment horizontal="right" vertical="top"/>
    </xf>
    <xf numFmtId="0" fontId="35" fillId="0" borderId="3" xfId="8" applyFont="1" applyBorder="1" applyAlignment="1">
      <alignment horizontal="left" vertical="top" indent="2"/>
    </xf>
    <xf numFmtId="165" fontId="35" fillId="0" borderId="19" xfId="8" applyNumberFormat="1" applyFont="1" applyBorder="1" applyAlignment="1">
      <alignment horizontal="right" vertical="top"/>
    </xf>
    <xf numFmtId="0" fontId="36" fillId="0" borderId="20" xfId="8" applyFont="1" applyBorder="1" applyAlignment="1">
      <alignment horizontal="right" vertical="top"/>
    </xf>
    <xf numFmtId="0" fontId="35" fillId="0" borderId="20" xfId="8" applyFont="1" applyBorder="1" applyAlignment="1">
      <alignment horizontal="left" vertical="top" indent="2"/>
    </xf>
    <xf numFmtId="0" fontId="37" fillId="0" borderId="0" xfId="8" applyFont="1" applyAlignment="1">
      <alignment vertical="top"/>
    </xf>
    <xf numFmtId="0" fontId="35" fillId="0" borderId="9" xfId="8" applyFont="1" applyBorder="1" applyAlignment="1">
      <alignment horizontal="right" vertical="top"/>
    </xf>
    <xf numFmtId="0" fontId="36" fillId="0" borderId="0" xfId="8" applyFont="1" applyBorder="1" applyAlignment="1">
      <alignment horizontal="right" vertical="top"/>
    </xf>
    <xf numFmtId="0" fontId="36" fillId="0" borderId="0" xfId="8" applyFont="1" applyAlignment="1">
      <alignment horizontal="left" vertical="top" indent="1"/>
    </xf>
    <xf numFmtId="165" fontId="36" fillId="0" borderId="0" xfId="8" applyNumberFormat="1" applyFont="1" applyBorder="1" applyAlignment="1">
      <alignment horizontal="right" vertical="top"/>
    </xf>
    <xf numFmtId="0" fontId="38" fillId="0" borderId="0" xfId="8" applyFont="1" applyAlignment="1">
      <alignment horizontal="left" vertical="top" indent="1"/>
    </xf>
    <xf numFmtId="165" fontId="39" fillId="0" borderId="0" xfId="8" applyNumberFormat="1" applyFont="1" applyAlignment="1">
      <alignment horizontal="right" vertical="top"/>
    </xf>
    <xf numFmtId="0" fontId="36" fillId="0" borderId="0" xfId="8" applyFont="1" applyAlignment="1">
      <alignment horizontal="right" vertical="top"/>
    </xf>
    <xf numFmtId="0" fontId="39" fillId="0" borderId="2" xfId="8" applyFont="1" applyBorder="1" applyAlignment="1">
      <alignment vertical="top"/>
    </xf>
    <xf numFmtId="0" fontId="35" fillId="0" borderId="0" xfId="8" applyFont="1" applyAlignment="1">
      <alignment horizontal="right" vertical="top"/>
    </xf>
    <xf numFmtId="165" fontId="36" fillId="0" borderId="7" xfId="8" applyNumberFormat="1" applyFont="1" applyBorder="1" applyAlignment="1">
      <alignment horizontal="right" vertical="top"/>
    </xf>
    <xf numFmtId="165" fontId="36" fillId="0" borderId="0" xfId="8" applyNumberFormat="1" applyFont="1" applyAlignment="1">
      <alignment horizontal="right" vertical="top"/>
    </xf>
    <xf numFmtId="165" fontId="35" fillId="0" borderId="9" xfId="8" applyNumberFormat="1" applyFont="1" applyBorder="1" applyAlignment="1">
      <alignment horizontal="right" vertical="top"/>
    </xf>
    <xf numFmtId="0" fontId="35" fillId="0" borderId="0" xfId="8" applyFont="1" applyAlignment="1">
      <alignment vertical="top"/>
    </xf>
    <xf numFmtId="165" fontId="35" fillId="0" borderId="0" xfId="8" applyNumberFormat="1" applyFont="1" applyAlignment="1">
      <alignment horizontal="right" vertical="top"/>
    </xf>
    <xf numFmtId="0" fontId="35" fillId="0" borderId="2" xfId="8" applyFont="1" applyBorder="1" applyAlignment="1">
      <alignment vertical="top"/>
    </xf>
    <xf numFmtId="165" fontId="39" fillId="0" borderId="9" xfId="8" applyNumberFormat="1" applyFont="1" applyBorder="1" applyAlignment="1">
      <alignment horizontal="right" vertical="top"/>
    </xf>
    <xf numFmtId="0" fontId="39" fillId="0" borderId="0" xfId="8" applyFont="1" applyAlignment="1">
      <alignment vertical="top"/>
    </xf>
    <xf numFmtId="0" fontId="36" fillId="0" borderId="7" xfId="8" applyFont="1" applyBorder="1" applyAlignment="1">
      <alignment horizontal="right" vertical="top"/>
    </xf>
    <xf numFmtId="0" fontId="35" fillId="0" borderId="15" xfId="8" applyFont="1" applyBorder="1" applyAlignment="1">
      <alignment vertical="top"/>
    </xf>
    <xf numFmtId="165" fontId="35" fillId="0" borderId="8" xfId="8" applyNumberFormat="1" applyFont="1" applyBorder="1" applyAlignment="1">
      <alignment horizontal="right" vertical="top"/>
    </xf>
    <xf numFmtId="0" fontId="36" fillId="0" borderId="21" xfId="8" applyFont="1" applyBorder="1" applyAlignment="1">
      <alignment horizontal="right" vertical="top"/>
    </xf>
    <xf numFmtId="0" fontId="40" fillId="0" borderId="18" xfId="8" applyFont="1" applyBorder="1" applyAlignment="1">
      <alignment horizontal="left" vertical="top" indent="2"/>
    </xf>
    <xf numFmtId="0" fontId="40" fillId="0" borderId="7" xfId="8" applyFont="1" applyBorder="1" applyAlignment="1">
      <alignment horizontal="left" vertical="top" indent="2"/>
    </xf>
    <xf numFmtId="0" fontId="35" fillId="0" borderId="15" xfId="8" applyFont="1" applyBorder="1" applyAlignment="1">
      <alignment horizontal="left" vertical="top" indent="2"/>
    </xf>
    <xf numFmtId="0" fontId="35" fillId="0" borderId="21" xfId="8" applyFont="1" applyBorder="1" applyAlignment="1">
      <alignment horizontal="left" vertical="top" indent="2"/>
    </xf>
    <xf numFmtId="43" fontId="7" fillId="0" borderId="1" xfId="1" applyFont="1" applyFill="1" applyBorder="1" applyAlignment="1">
      <alignment horizontal="center"/>
    </xf>
    <xf numFmtId="43" fontId="7" fillId="0" borderId="3" xfId="1" applyFont="1" applyFill="1" applyBorder="1" applyAlignment="1">
      <alignment horizontal="center"/>
    </xf>
    <xf numFmtId="43" fontId="7" fillId="0" borderId="6" xfId="1" applyFont="1" applyFill="1" applyBorder="1" applyAlignment="1">
      <alignment horizontal="center"/>
    </xf>
    <xf numFmtId="43" fontId="7" fillId="0" borderId="3" xfId="1" applyFont="1" applyFill="1" applyBorder="1" applyAlignment="1">
      <alignment horizontal="center" vertical="center" wrapText="1"/>
    </xf>
    <xf numFmtId="43" fontId="7" fillId="0" borderId="15" xfId="1" applyFont="1" applyFill="1" applyBorder="1" applyAlignment="1">
      <alignment horizontal="center" vertical="center" wrapText="1"/>
    </xf>
    <xf numFmtId="43" fontId="7" fillId="0" borderId="15" xfId="1" applyFont="1" applyFill="1" applyBorder="1" applyAlignment="1">
      <alignment horizontal="center"/>
    </xf>
    <xf numFmtId="43" fontId="7" fillId="0" borderId="1" xfId="1" applyFont="1" applyFill="1" applyBorder="1" applyAlignment="1">
      <alignment horizontal="center" vertical="center" wrapText="1"/>
    </xf>
    <xf numFmtId="43" fontId="7" fillId="0" borderId="1" xfId="1" applyFont="1" applyFill="1" applyBorder="1" applyAlignment="1">
      <alignment horizontal="center"/>
    </xf>
    <xf numFmtId="0" fontId="3" fillId="0" borderId="0" xfId="0" applyFont="1" applyAlignment="1">
      <alignment horizontal="center"/>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43" fontId="7" fillId="0" borderId="1" xfId="1" applyFont="1" applyFill="1" applyBorder="1" applyAlignment="1">
      <alignment horizontal="center"/>
    </xf>
    <xf numFmtId="0" fontId="7" fillId="0" borderId="8" xfId="0" applyFont="1" applyFill="1" applyBorder="1" applyAlignment="1">
      <alignment horizontal="left" vertical="center"/>
    </xf>
    <xf numFmtId="0" fontId="7" fillId="0" borderId="9" xfId="0" applyFont="1" applyFill="1" applyBorder="1" applyAlignment="1">
      <alignment horizontal="left" vertical="center"/>
    </xf>
    <xf numFmtId="0" fontId="7" fillId="0" borderId="10" xfId="0" applyFont="1" applyFill="1" applyBorder="1" applyAlignment="1">
      <alignment horizontal="left" vertical="center"/>
    </xf>
    <xf numFmtId="43" fontId="7" fillId="0" borderId="3" xfId="1" applyFont="1" applyFill="1" applyBorder="1" applyAlignment="1">
      <alignment horizontal="center"/>
    </xf>
    <xf numFmtId="43" fontId="7" fillId="0" borderId="6" xfId="1" applyFont="1" applyFill="1" applyBorder="1" applyAlignment="1">
      <alignment horizontal="center"/>
    </xf>
    <xf numFmtId="0" fontId="10" fillId="0" borderId="0" xfId="0" applyFont="1" applyAlignment="1">
      <alignment horizontal="center"/>
    </xf>
    <xf numFmtId="0" fontId="7" fillId="0" borderId="3" xfId="0" applyFont="1" applyFill="1" applyBorder="1" applyAlignment="1">
      <alignment horizontal="center"/>
    </xf>
    <xf numFmtId="0" fontId="7" fillId="0" borderId="5" xfId="0" applyFont="1" applyFill="1" applyBorder="1" applyAlignment="1">
      <alignment horizontal="center"/>
    </xf>
    <xf numFmtId="0" fontId="7" fillId="0" borderId="6" xfId="0" applyFont="1" applyFill="1" applyBorder="1" applyAlignment="1">
      <alignment horizontal="center"/>
    </xf>
    <xf numFmtId="43" fontId="7" fillId="0" borderId="3" xfId="1" applyFont="1" applyFill="1" applyBorder="1" applyAlignment="1">
      <alignment horizontal="center" vertical="center" wrapText="1"/>
    </xf>
    <xf numFmtId="43" fontId="7" fillId="0" borderId="6" xfId="1"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13" fillId="0" borderId="0" xfId="0" applyFont="1" applyAlignment="1">
      <alignment horizontal="center"/>
    </xf>
    <xf numFmtId="43" fontId="7" fillId="0" borderId="3" xfId="1" applyFont="1" applyFill="1" applyBorder="1" applyAlignment="1">
      <alignment horizontal="center" wrapText="1"/>
    </xf>
    <xf numFmtId="43" fontId="7" fillId="0" borderId="6" xfId="1" applyFont="1" applyFill="1" applyBorder="1" applyAlignment="1">
      <alignment horizontal="center" wrapText="1"/>
    </xf>
    <xf numFmtId="0" fontId="12" fillId="0" borderId="7" xfId="0" applyFont="1" applyBorder="1" applyAlignment="1">
      <alignment horizontal="right"/>
    </xf>
    <xf numFmtId="0" fontId="17" fillId="0" borderId="5" xfId="0" applyFont="1" applyFill="1" applyBorder="1" applyAlignment="1">
      <alignment horizontal="center"/>
    </xf>
    <xf numFmtId="0" fontId="17" fillId="0" borderId="6" xfId="0" applyFont="1" applyFill="1" applyBorder="1" applyAlignment="1">
      <alignment horizontal="center"/>
    </xf>
    <xf numFmtId="0" fontId="12" fillId="0" borderId="0" xfId="0" applyFont="1" applyAlignment="1">
      <alignment horizontal="left" wrapText="1"/>
    </xf>
    <xf numFmtId="0" fontId="28" fillId="0" borderId="3" xfId="0" applyFont="1" applyFill="1" applyBorder="1" applyAlignment="1">
      <alignment horizontal="center"/>
    </xf>
    <xf numFmtId="0" fontId="28" fillId="0" borderId="6" xfId="0" applyFont="1" applyFill="1" applyBorder="1" applyAlignment="1">
      <alignment horizontal="center"/>
    </xf>
    <xf numFmtId="0" fontId="25" fillId="0" borderId="0" xfId="0" applyFont="1" applyAlignment="1">
      <alignment horizontal="center"/>
    </xf>
    <xf numFmtId="0" fontId="35" fillId="0" borderId="21" xfId="8" applyFont="1" applyBorder="1" applyAlignment="1">
      <alignment horizontal="center" vertical="top" wrapText="1"/>
    </xf>
    <xf numFmtId="0" fontId="35" fillId="0" borderId="8" xfId="8" applyFont="1" applyBorder="1" applyAlignment="1">
      <alignment horizontal="center" vertical="top" wrapText="1"/>
    </xf>
    <xf numFmtId="0" fontId="38" fillId="0" borderId="7" xfId="8" applyFont="1" applyBorder="1" applyAlignment="1">
      <alignment horizontal="center" vertical="top" wrapText="1"/>
    </xf>
    <xf numFmtId="0" fontId="38" fillId="0" borderId="10" xfId="8" applyFont="1" applyBorder="1" applyAlignment="1">
      <alignment horizontal="center" vertical="top" wrapText="1"/>
    </xf>
  </cellXfs>
  <cellStyles count="9">
    <cellStyle name="Comma" xfId="1" builtinId="3"/>
    <cellStyle name="Comma [0]" xfId="2" builtinId="6"/>
    <cellStyle name="Comma [0] 2" xfId="4"/>
    <cellStyle name="Comma 2" xfId="6"/>
    <cellStyle name="Normal" xfId="0" builtinId="0"/>
    <cellStyle name="Normal 2" xfId="5"/>
    <cellStyle name="Normal 3" xfId="8"/>
    <cellStyle name="Percent" xfId="3" builtinId="5"/>
    <cellStyle name="Percent 2" xfId="7"/>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L41"/>
  <sheetViews>
    <sheetView zoomScale="120" workbookViewId="0">
      <selection sqref="A1:IV65536"/>
    </sheetView>
  </sheetViews>
  <sheetFormatPr defaultRowHeight="12.75"/>
  <cols>
    <col min="1" max="1" width="10.85546875" customWidth="1"/>
    <col min="2" max="2" width="12.42578125" customWidth="1"/>
    <col min="3" max="3" width="12.140625" customWidth="1"/>
    <col min="4" max="4" width="11.28515625" customWidth="1"/>
    <col min="5" max="5" width="11.140625" customWidth="1"/>
    <col min="6" max="6" width="5" customWidth="1"/>
    <col min="7" max="7" width="32" customWidth="1"/>
    <col min="8" max="8" width="13.140625" customWidth="1"/>
    <col min="9" max="9" width="11.7109375" customWidth="1"/>
    <col min="10" max="10" width="11.85546875" customWidth="1"/>
    <col min="11" max="11" width="12.140625" customWidth="1"/>
    <col min="12" max="12" width="12.5703125" customWidth="1"/>
  </cols>
  <sheetData>
    <row r="1" spans="1:12">
      <c r="F1" s="178" t="s">
        <v>8</v>
      </c>
      <c r="G1" s="178"/>
      <c r="H1" s="178"/>
      <c r="I1" s="178"/>
      <c r="J1" s="178"/>
      <c r="K1" s="178"/>
      <c r="L1" s="178"/>
    </row>
    <row r="2" spans="1:12">
      <c r="F2" s="179" t="s">
        <v>40</v>
      </c>
      <c r="G2" s="179"/>
      <c r="H2" s="179"/>
      <c r="I2" s="179"/>
      <c r="J2" s="179"/>
      <c r="K2" s="179"/>
      <c r="L2" s="179"/>
    </row>
    <row r="3" spans="1:12">
      <c r="L3" s="1" t="s">
        <v>9</v>
      </c>
    </row>
    <row r="4" spans="1:12">
      <c r="A4" s="178" t="s">
        <v>44</v>
      </c>
      <c r="B4" s="178"/>
      <c r="C4" s="178"/>
      <c r="D4" s="178"/>
      <c r="E4" s="178"/>
      <c r="F4" s="180" t="s">
        <v>6</v>
      </c>
      <c r="G4" s="181" t="s">
        <v>0</v>
      </c>
      <c r="H4" s="178" t="s">
        <v>7</v>
      </c>
      <c r="I4" s="178"/>
      <c r="J4" s="178"/>
      <c r="K4" s="178"/>
      <c r="L4" s="178"/>
    </row>
    <row r="5" spans="1:12" s="1" customFormat="1">
      <c r="A5" s="179" t="s">
        <v>1</v>
      </c>
      <c r="B5" s="179"/>
      <c r="C5" s="179" t="s">
        <v>43</v>
      </c>
      <c r="D5" s="179"/>
      <c r="E5" s="1" t="s">
        <v>3</v>
      </c>
      <c r="F5" s="180"/>
      <c r="G5" s="181"/>
      <c r="H5" s="179" t="s">
        <v>1</v>
      </c>
      <c r="I5" s="179"/>
      <c r="J5" s="179" t="s">
        <v>43</v>
      </c>
      <c r="K5" s="179"/>
      <c r="L5" s="1" t="s">
        <v>3</v>
      </c>
    </row>
    <row r="6" spans="1:12" s="1" customFormat="1">
      <c r="A6" s="179" t="s">
        <v>2</v>
      </c>
      <c r="B6" s="179"/>
      <c r="C6" s="179" t="s">
        <v>2</v>
      </c>
      <c r="D6" s="179"/>
      <c r="E6" s="1" t="s">
        <v>4</v>
      </c>
      <c r="F6" s="180"/>
      <c r="G6" s="181"/>
      <c r="H6" s="179" t="s">
        <v>2</v>
      </c>
      <c r="I6" s="179"/>
      <c r="J6" s="179" t="s">
        <v>2</v>
      </c>
      <c r="K6" s="179"/>
      <c r="L6" s="1" t="s">
        <v>4</v>
      </c>
    </row>
    <row r="7" spans="1:12" s="1" customFormat="1">
      <c r="A7" s="1" t="s">
        <v>41</v>
      </c>
      <c r="B7" s="1" t="s">
        <v>42</v>
      </c>
      <c r="C7" s="1" t="s">
        <v>41</v>
      </c>
      <c r="D7" s="1" t="s">
        <v>42</v>
      </c>
      <c r="E7" s="1" t="s">
        <v>5</v>
      </c>
      <c r="F7" s="180"/>
      <c r="G7" s="181"/>
      <c r="H7" s="1" t="s">
        <v>41</v>
      </c>
      <c r="I7" s="1" t="s">
        <v>42</v>
      </c>
      <c r="J7" s="1" t="s">
        <v>41</v>
      </c>
      <c r="K7" s="1" t="s">
        <v>42</v>
      </c>
      <c r="L7" s="1" t="s">
        <v>5</v>
      </c>
    </row>
    <row r="8" spans="1:12">
      <c r="F8">
        <v>1</v>
      </c>
      <c r="G8" t="s">
        <v>10</v>
      </c>
      <c r="H8" s="5">
        <v>11282.12</v>
      </c>
      <c r="I8" s="5">
        <v>3443.39</v>
      </c>
      <c r="J8" s="5">
        <v>19726.45</v>
      </c>
      <c r="K8" s="5">
        <v>6473.13</v>
      </c>
      <c r="L8" s="5">
        <v>15322.81</v>
      </c>
    </row>
    <row r="9" spans="1:12">
      <c r="F9">
        <v>2</v>
      </c>
      <c r="G9" t="s">
        <v>11</v>
      </c>
      <c r="H9" s="5">
        <v>13.37</v>
      </c>
      <c r="I9" s="5">
        <v>516.17999999999995</v>
      </c>
      <c r="J9" s="5">
        <v>48.04</v>
      </c>
      <c r="K9" s="5">
        <v>952.52</v>
      </c>
      <c r="L9" s="5">
        <v>1172.81</v>
      </c>
    </row>
    <row r="10" spans="1:12">
      <c r="F10">
        <v>3</v>
      </c>
      <c r="G10" t="s">
        <v>12</v>
      </c>
      <c r="H10" s="5">
        <f>SUM(H8:H9)</f>
        <v>11295.490000000002</v>
      </c>
      <c r="I10" s="5">
        <f>SUM(I8:I9)</f>
        <v>3959.5699999999997</v>
      </c>
      <c r="J10" s="5">
        <f>SUM(J8:J9)</f>
        <v>19774.490000000002</v>
      </c>
      <c r="K10" s="5">
        <f>SUM(K8:K9)</f>
        <v>7425.65</v>
      </c>
      <c r="L10" s="5">
        <f>SUM(L8:L9)</f>
        <v>16495.62</v>
      </c>
    </row>
    <row r="11" spans="1:12">
      <c r="F11">
        <v>4</v>
      </c>
      <c r="G11" t="s">
        <v>13</v>
      </c>
      <c r="H11" s="5"/>
      <c r="I11" s="5"/>
      <c r="J11" s="5"/>
      <c r="K11" s="5"/>
      <c r="L11" s="5"/>
    </row>
    <row r="12" spans="1:12" ht="25.5">
      <c r="G12" s="2" t="s">
        <v>14</v>
      </c>
      <c r="H12" s="5">
        <v>463.4</v>
      </c>
      <c r="I12" s="5">
        <v>622.15</v>
      </c>
      <c r="J12" s="5">
        <v>1396.4</v>
      </c>
      <c r="K12" s="5">
        <v>-5970.3</v>
      </c>
      <c r="L12" s="5">
        <v>-8318.59</v>
      </c>
    </row>
    <row r="13" spans="1:12">
      <c r="G13" t="s">
        <v>15</v>
      </c>
      <c r="H13" s="5">
        <v>7221.35</v>
      </c>
      <c r="I13" s="5">
        <v>1453.85</v>
      </c>
      <c r="J13" s="5">
        <v>11182.43</v>
      </c>
      <c r="K13" s="5">
        <v>9732.4699999999993</v>
      </c>
      <c r="L13" s="5">
        <v>15502.51</v>
      </c>
    </row>
    <row r="14" spans="1:12">
      <c r="G14" t="s">
        <v>29</v>
      </c>
      <c r="H14" s="5">
        <v>9.77</v>
      </c>
      <c r="I14" s="5">
        <v>6.85</v>
      </c>
      <c r="J14" s="5">
        <v>42.41</v>
      </c>
      <c r="K14" s="5">
        <v>14.54</v>
      </c>
      <c r="L14" s="5">
        <v>35</v>
      </c>
    </row>
    <row r="15" spans="1:12">
      <c r="G15" t="s">
        <v>16</v>
      </c>
      <c r="H15" s="5">
        <v>16.18</v>
      </c>
      <c r="I15" s="5">
        <v>11.1</v>
      </c>
      <c r="J15" s="5">
        <v>30.64</v>
      </c>
      <c r="K15" s="5">
        <v>35.82</v>
      </c>
      <c r="L15" s="5">
        <v>54.41</v>
      </c>
    </row>
    <row r="16" spans="1:12">
      <c r="G16" t="s">
        <v>17</v>
      </c>
      <c r="H16" s="5">
        <v>7.76</v>
      </c>
      <c r="I16" s="5">
        <v>8.19</v>
      </c>
      <c r="J16" s="5">
        <v>13.08</v>
      </c>
      <c r="K16" s="5">
        <v>16.28</v>
      </c>
      <c r="L16" s="5">
        <v>31.91</v>
      </c>
    </row>
    <row r="17" spans="6:12">
      <c r="G17" t="s">
        <v>48</v>
      </c>
      <c r="H17" s="5">
        <v>176.03</v>
      </c>
      <c r="I17" s="5">
        <v>68.47</v>
      </c>
      <c r="J17" s="5">
        <v>309.76</v>
      </c>
      <c r="K17" s="5">
        <v>231.33</v>
      </c>
      <c r="L17" s="5">
        <v>472.91</v>
      </c>
    </row>
    <row r="18" spans="6:12">
      <c r="G18" t="s">
        <v>18</v>
      </c>
      <c r="H18" s="5">
        <f>SUM(H12:H17)</f>
        <v>7894.4900000000007</v>
      </c>
      <c r="I18" s="5">
        <f>SUM(I12:I17)</f>
        <v>2170.6099999999997</v>
      </c>
      <c r="J18" s="5">
        <f>SUM(J12:J17)</f>
        <v>12974.72</v>
      </c>
      <c r="K18" s="5">
        <f>SUM(K12:K17)</f>
        <v>4060.1399999999994</v>
      </c>
      <c r="L18" s="5">
        <f>SUM(L12:L17)</f>
        <v>7778.15</v>
      </c>
    </row>
    <row r="19" spans="6:12">
      <c r="F19">
        <v>5</v>
      </c>
      <c r="G19" t="s">
        <v>19</v>
      </c>
      <c r="H19" s="5">
        <v>55.86</v>
      </c>
      <c r="I19" s="5">
        <v>75.48</v>
      </c>
      <c r="J19" s="5">
        <v>117.55</v>
      </c>
      <c r="K19" s="5">
        <v>125.45</v>
      </c>
      <c r="L19" s="5">
        <v>299.97000000000003</v>
      </c>
    </row>
    <row r="20" spans="6:12">
      <c r="F20">
        <v>6</v>
      </c>
      <c r="G20" t="s">
        <v>20</v>
      </c>
      <c r="H20" s="5"/>
      <c r="I20" s="5"/>
      <c r="J20" s="5"/>
      <c r="K20" s="5">
        <v>-0.96</v>
      </c>
      <c r="L20" s="5">
        <v>13.4</v>
      </c>
    </row>
    <row r="21" spans="6:12" ht="25.5">
      <c r="F21" s="4">
        <v>7</v>
      </c>
      <c r="G21" s="4" t="s">
        <v>21</v>
      </c>
      <c r="H21" s="5">
        <f>H10-(H18+H19+H20)</f>
        <v>3345.1400000000012</v>
      </c>
      <c r="I21" s="5">
        <f>I10-(I18+I19+I20)</f>
        <v>1713.48</v>
      </c>
      <c r="J21" s="5">
        <f>J10-(J18+J19+J20)</f>
        <v>6682.220000000003</v>
      </c>
      <c r="K21" s="5">
        <f>K10-(K18+K19+K20)</f>
        <v>3241.0200000000004</v>
      </c>
      <c r="L21" s="5">
        <f>L10-(L18+L19+L20)</f>
        <v>8404.0999999999985</v>
      </c>
    </row>
    <row r="22" spans="6:12">
      <c r="F22">
        <v>8</v>
      </c>
      <c r="G22" t="s">
        <v>22</v>
      </c>
      <c r="H22" s="5">
        <v>135.44999999999999</v>
      </c>
      <c r="I22" s="5">
        <v>150.31</v>
      </c>
      <c r="J22" s="5">
        <v>611.9</v>
      </c>
      <c r="K22" s="5">
        <v>300.81</v>
      </c>
      <c r="L22" s="5"/>
    </row>
    <row r="23" spans="6:12" ht="25.5">
      <c r="F23" s="3">
        <v>9</v>
      </c>
      <c r="G23" s="3" t="s">
        <v>23</v>
      </c>
      <c r="H23" s="5">
        <f>H21-H22</f>
        <v>3209.6900000000014</v>
      </c>
      <c r="I23" s="5">
        <f>I21-I22</f>
        <v>1563.17</v>
      </c>
      <c r="J23" s="5">
        <f>J21-J22</f>
        <v>6070.3200000000033</v>
      </c>
      <c r="K23" s="5">
        <f>K21-K22</f>
        <v>2940.2100000000005</v>
      </c>
      <c r="L23" s="5">
        <f>L21-L22</f>
        <v>8404.0999999999985</v>
      </c>
    </row>
    <row r="24" spans="6:12">
      <c r="F24">
        <v>10</v>
      </c>
      <c r="G24" t="s">
        <v>24</v>
      </c>
      <c r="H24" s="5"/>
      <c r="I24" s="5"/>
      <c r="J24" s="5"/>
      <c r="K24" s="5"/>
      <c r="L24" s="5"/>
    </row>
    <row r="25" spans="6:12">
      <c r="F25">
        <v>11</v>
      </c>
      <c r="G25" t="s">
        <v>28</v>
      </c>
      <c r="H25" s="5">
        <f>H23-H24</f>
        <v>3209.6900000000014</v>
      </c>
      <c r="I25" s="5">
        <f>I23-I24</f>
        <v>1563.17</v>
      </c>
      <c r="J25" s="5">
        <f>J23-J24</f>
        <v>6070.3200000000033</v>
      </c>
      <c r="K25" s="5">
        <f>K23-K24</f>
        <v>2940.2100000000005</v>
      </c>
      <c r="L25" s="5">
        <f>L23-L24</f>
        <v>8404.0999999999985</v>
      </c>
    </row>
    <row r="26" spans="6:12" ht="25.5">
      <c r="F26" s="4">
        <v>12</v>
      </c>
      <c r="G26" s="4" t="s">
        <v>25</v>
      </c>
      <c r="H26" s="5"/>
      <c r="I26" s="5"/>
      <c r="J26" s="5"/>
      <c r="K26" s="5"/>
      <c r="L26" s="5"/>
    </row>
    <row r="27" spans="6:12" ht="38.25">
      <c r="F27" s="4">
        <v>13</v>
      </c>
      <c r="G27" s="4" t="s">
        <v>26</v>
      </c>
      <c r="H27" s="5"/>
      <c r="I27" s="5"/>
      <c r="J27" s="5"/>
      <c r="K27" s="5"/>
      <c r="L27" s="5"/>
    </row>
    <row r="28" spans="6:12">
      <c r="F28">
        <v>14</v>
      </c>
      <c r="G28" t="s">
        <v>27</v>
      </c>
      <c r="H28" s="5"/>
      <c r="I28" s="5"/>
      <c r="J28" s="5"/>
      <c r="K28" s="5"/>
      <c r="L28" s="5"/>
    </row>
    <row r="29" spans="6:12" ht="51">
      <c r="G29" s="2" t="s">
        <v>30</v>
      </c>
    </row>
    <row r="30" spans="6:12" ht="51">
      <c r="G30" s="2" t="s">
        <v>31</v>
      </c>
    </row>
    <row r="31" spans="6:12">
      <c r="F31">
        <v>15</v>
      </c>
      <c r="G31" t="s">
        <v>32</v>
      </c>
    </row>
    <row r="32" spans="6:12">
      <c r="G32" t="s">
        <v>34</v>
      </c>
    </row>
    <row r="33" spans="7:7">
      <c r="G33" t="s">
        <v>33</v>
      </c>
    </row>
    <row r="36" spans="7:7">
      <c r="G36" t="s">
        <v>49</v>
      </c>
    </row>
    <row r="37" spans="7:7">
      <c r="G37" t="s">
        <v>35</v>
      </c>
    </row>
    <row r="38" spans="7:7">
      <c r="G38" t="s">
        <v>36</v>
      </c>
    </row>
    <row r="39" spans="7:7">
      <c r="G39" t="s">
        <v>37</v>
      </c>
    </row>
    <row r="40" spans="7:7">
      <c r="G40" t="s">
        <v>38</v>
      </c>
    </row>
    <row r="41" spans="7:7">
      <c r="G41" t="s">
        <v>39</v>
      </c>
    </row>
  </sheetData>
  <mergeCells count="14">
    <mergeCell ref="F1:L1"/>
    <mergeCell ref="F2:L2"/>
    <mergeCell ref="F4:F7"/>
    <mergeCell ref="G4:G7"/>
    <mergeCell ref="H5:I5"/>
    <mergeCell ref="H6:I6"/>
    <mergeCell ref="J5:K5"/>
    <mergeCell ref="J6:K6"/>
    <mergeCell ref="H4:L4"/>
    <mergeCell ref="A4:E4"/>
    <mergeCell ref="A5:B5"/>
    <mergeCell ref="C5:D5"/>
    <mergeCell ref="A6:B6"/>
    <mergeCell ref="C6:D6"/>
  </mergeCells>
  <phoneticPr fontId="4"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AB78"/>
  <sheetViews>
    <sheetView view="pageBreakPreview" topLeftCell="A48" zoomScaleSheetLayoutView="100" workbookViewId="0">
      <selection activeCell="A3" sqref="A3:S69"/>
    </sheetView>
  </sheetViews>
  <sheetFormatPr defaultRowHeight="12.75"/>
  <cols>
    <col min="1" max="1" width="4" style="19" customWidth="1"/>
    <col min="2" max="4" width="12.7109375" style="20" customWidth="1"/>
    <col min="5" max="6" width="12.7109375" style="20" hidden="1" customWidth="1"/>
    <col min="7" max="7" width="4.42578125" style="19" customWidth="1"/>
    <col min="8" max="8" width="57.85546875" style="19" customWidth="1"/>
    <col min="9" max="9" width="15.5703125" style="19" hidden="1" customWidth="1"/>
    <col min="10" max="12" width="12.7109375" style="19" hidden="1" customWidth="1"/>
    <col min="13" max="13" width="12.85546875" style="19" hidden="1" customWidth="1"/>
    <col min="14" max="14" width="12.7109375" style="19" hidden="1" customWidth="1"/>
    <col min="15" max="15" width="12.7109375" style="19" customWidth="1"/>
    <col min="16" max="17" width="11.5703125" style="19" bestFit="1" customWidth="1"/>
    <col min="18" max="18" width="13.28515625" style="19" hidden="1" customWidth="1"/>
    <col min="19" max="19" width="12.7109375" style="19" hidden="1" customWidth="1"/>
    <col min="20" max="16384" width="9.140625" style="19"/>
  </cols>
  <sheetData>
    <row r="1" spans="1:24" ht="12.75" hidden="1" customHeight="1">
      <c r="A1" s="188" t="s">
        <v>90</v>
      </c>
      <c r="B1" s="188"/>
      <c r="C1" s="188"/>
      <c r="D1" s="188"/>
      <c r="E1" s="188"/>
      <c r="F1" s="188"/>
      <c r="G1" s="188"/>
      <c r="H1" s="188"/>
      <c r="I1" s="188"/>
      <c r="J1" s="188"/>
      <c r="K1" s="188"/>
      <c r="L1" s="188"/>
      <c r="M1" s="188"/>
      <c r="N1" s="188"/>
      <c r="O1" s="188"/>
      <c r="P1" s="188"/>
      <c r="Q1" s="188"/>
      <c r="R1" s="188"/>
      <c r="S1" s="188"/>
      <c r="T1" s="18"/>
      <c r="V1" s="18"/>
      <c r="W1" s="18"/>
      <c r="X1" s="18"/>
    </row>
    <row r="2" spans="1:24" ht="12.75" hidden="1" customHeight="1">
      <c r="A2" s="188"/>
      <c r="B2" s="188"/>
      <c r="C2" s="188"/>
      <c r="D2" s="188"/>
      <c r="E2" s="188"/>
      <c r="F2" s="188"/>
      <c r="G2" s="188"/>
      <c r="H2" s="188"/>
      <c r="I2" s="188"/>
      <c r="J2" s="188"/>
      <c r="K2" s="188"/>
      <c r="L2" s="188"/>
      <c r="M2" s="188"/>
      <c r="N2" s="188"/>
      <c r="O2" s="188"/>
      <c r="P2" s="188"/>
      <c r="Q2" s="188"/>
      <c r="R2" s="188"/>
      <c r="S2" s="188"/>
    </row>
    <row r="3" spans="1:24" ht="17.25">
      <c r="B3" s="197" t="s">
        <v>106</v>
      </c>
      <c r="C3" s="197"/>
      <c r="D3" s="197"/>
      <c r="E3" s="197"/>
      <c r="F3" s="197"/>
      <c r="G3" s="197"/>
      <c r="H3" s="197"/>
      <c r="I3" s="197"/>
      <c r="J3" s="197"/>
      <c r="K3" s="197"/>
      <c r="L3" s="197"/>
      <c r="M3" s="197"/>
      <c r="N3" s="197"/>
      <c r="O3" s="197"/>
      <c r="P3" s="197"/>
      <c r="Q3" s="197"/>
      <c r="R3" s="197"/>
      <c r="S3" s="197"/>
    </row>
    <row r="4" spans="1:24">
      <c r="H4" s="200" t="s">
        <v>84</v>
      </c>
      <c r="I4" s="200"/>
      <c r="J4" s="200"/>
      <c r="K4" s="200"/>
      <c r="L4" s="200"/>
      <c r="M4" s="200"/>
      <c r="N4" s="200"/>
      <c r="O4" s="200"/>
      <c r="P4" s="200"/>
      <c r="Q4" s="200"/>
    </row>
    <row r="5" spans="1:24" ht="15" customHeight="1">
      <c r="B5" s="189" t="s">
        <v>145</v>
      </c>
      <c r="C5" s="201"/>
      <c r="D5" s="201"/>
      <c r="E5" s="201"/>
      <c r="F5" s="202"/>
      <c r="G5" s="194" t="s">
        <v>6</v>
      </c>
      <c r="H5" s="183" t="s">
        <v>0</v>
      </c>
      <c r="I5" s="189" t="s">
        <v>85</v>
      </c>
      <c r="J5" s="190"/>
      <c r="K5" s="190"/>
      <c r="L5" s="190"/>
      <c r="M5" s="190"/>
      <c r="N5" s="190"/>
      <c r="O5" s="190"/>
      <c r="P5" s="190"/>
      <c r="Q5" s="190"/>
      <c r="R5" s="190"/>
      <c r="S5" s="191"/>
    </row>
    <row r="6" spans="1:24" ht="31.5" customHeight="1">
      <c r="B6" s="192" t="s">
        <v>1</v>
      </c>
      <c r="C6" s="193"/>
      <c r="D6" s="81" t="s">
        <v>50</v>
      </c>
      <c r="E6" s="198" t="s">
        <v>43</v>
      </c>
      <c r="F6" s="199"/>
      <c r="G6" s="195"/>
      <c r="H6" s="184"/>
      <c r="I6" s="182" t="s">
        <v>1</v>
      </c>
      <c r="J6" s="182"/>
      <c r="K6" s="186" t="s">
        <v>59</v>
      </c>
      <c r="L6" s="187"/>
      <c r="M6" s="182" t="s">
        <v>1</v>
      </c>
      <c r="N6" s="182"/>
      <c r="O6" s="192" t="s">
        <v>1</v>
      </c>
      <c r="P6" s="193"/>
      <c r="Q6" s="176" t="s">
        <v>50</v>
      </c>
      <c r="R6" s="198" t="s">
        <v>43</v>
      </c>
      <c r="S6" s="199"/>
    </row>
    <row r="7" spans="1:24" ht="15">
      <c r="B7" s="174" t="s">
        <v>203</v>
      </c>
      <c r="C7" s="176" t="s">
        <v>2</v>
      </c>
      <c r="D7" s="173" t="s">
        <v>4</v>
      </c>
      <c r="E7" s="175"/>
      <c r="F7" s="172"/>
      <c r="G7" s="195"/>
      <c r="H7" s="184"/>
      <c r="I7" s="170"/>
      <c r="J7" s="170"/>
      <c r="K7" s="170"/>
      <c r="L7" s="170"/>
      <c r="M7" s="170"/>
      <c r="N7" s="170"/>
      <c r="O7" s="174" t="s">
        <v>203</v>
      </c>
      <c r="P7" s="176" t="s">
        <v>2</v>
      </c>
      <c r="Q7" s="177" t="s">
        <v>4</v>
      </c>
      <c r="R7" s="171"/>
      <c r="S7" s="172"/>
    </row>
    <row r="8" spans="1:24" ht="15">
      <c r="B8" s="60" t="s">
        <v>91</v>
      </c>
      <c r="C8" s="60" t="s">
        <v>88</v>
      </c>
      <c r="D8" s="60" t="s">
        <v>92</v>
      </c>
      <c r="E8" s="60" t="s">
        <v>69</v>
      </c>
      <c r="F8" s="51" t="s">
        <v>41</v>
      </c>
      <c r="G8" s="196"/>
      <c r="H8" s="185"/>
      <c r="I8" s="51" t="s">
        <v>57</v>
      </c>
      <c r="J8" s="51" t="s">
        <v>58</v>
      </c>
      <c r="K8" s="51" t="s">
        <v>57</v>
      </c>
      <c r="L8" s="51" t="s">
        <v>58</v>
      </c>
      <c r="M8" s="51" t="s">
        <v>69</v>
      </c>
      <c r="N8" s="51" t="s">
        <v>41</v>
      </c>
      <c r="O8" s="60" t="s">
        <v>91</v>
      </c>
      <c r="P8" s="60" t="s">
        <v>88</v>
      </c>
      <c r="Q8" s="60" t="s">
        <v>92</v>
      </c>
      <c r="R8" s="51" t="s">
        <v>69</v>
      </c>
      <c r="S8" s="51" t="s">
        <v>41</v>
      </c>
    </row>
    <row r="9" spans="1:24" ht="15">
      <c r="B9" s="59">
        <v>0</v>
      </c>
      <c r="C9" s="59">
        <f>40.89+6.43</f>
        <v>47.32</v>
      </c>
      <c r="D9" s="59">
        <f>40.89</f>
        <v>40.89</v>
      </c>
      <c r="E9" s="59" t="e">
        <f>#REF!+#REF!</f>
        <v>#REF!</v>
      </c>
      <c r="F9" s="54">
        <f>4123.08</f>
        <v>4123.08</v>
      </c>
      <c r="G9" s="7">
        <v>1</v>
      </c>
      <c r="H9" s="7" t="s">
        <v>63</v>
      </c>
      <c r="I9" s="33" t="e">
        <f>755.87+#REF!</f>
        <v>#REF!</v>
      </c>
      <c r="J9" s="33">
        <f>11282.12</f>
        <v>11282.12</v>
      </c>
      <c r="K9" s="33" t="e">
        <f>2089.07+#REF!</f>
        <v>#REF!</v>
      </c>
      <c r="L9" s="33">
        <f>19726.45</f>
        <v>19726.45</v>
      </c>
      <c r="M9" s="47" t="e">
        <f>#REF!+2741.09</f>
        <v>#REF!</v>
      </c>
      <c r="N9" s="47">
        <f>6681.29</f>
        <v>6681.29</v>
      </c>
      <c r="O9" s="47">
        <f>27.58</f>
        <v>27.58</v>
      </c>
      <c r="P9" s="47">
        <f>2648.47</f>
        <v>2648.47</v>
      </c>
      <c r="Q9" s="47">
        <f>3022.86</f>
        <v>3022.86</v>
      </c>
      <c r="R9" s="47" t="e">
        <f>K9+M9</f>
        <v>#REF!</v>
      </c>
      <c r="S9" s="47">
        <f>26407.74</f>
        <v>26407.74</v>
      </c>
    </row>
    <row r="10" spans="1:24" ht="15">
      <c r="B10" s="47">
        <f>24.15</f>
        <v>24.15</v>
      </c>
      <c r="C10" s="47">
        <v>0</v>
      </c>
      <c r="D10" s="54">
        <f>100.38</f>
        <v>100.38</v>
      </c>
      <c r="E10" s="54" t="e">
        <f>#REF!+#REF!</f>
        <v>#REF!</v>
      </c>
      <c r="F10" s="47">
        <v>0</v>
      </c>
      <c r="G10" s="7"/>
      <c r="H10" s="46" t="s">
        <v>62</v>
      </c>
      <c r="I10" s="33">
        <v>0</v>
      </c>
      <c r="J10" s="33">
        <v>0</v>
      </c>
      <c r="K10" s="33">
        <v>0</v>
      </c>
      <c r="L10" s="33">
        <v>0</v>
      </c>
      <c r="M10" s="47" t="e">
        <f>#REF!</f>
        <v>#REF!</v>
      </c>
      <c r="N10" s="47">
        <v>0</v>
      </c>
      <c r="O10" s="47">
        <f>B10+0</f>
        <v>24.15</v>
      </c>
      <c r="P10" s="47">
        <v>0</v>
      </c>
      <c r="Q10" s="47">
        <f>100.38</f>
        <v>100.38</v>
      </c>
      <c r="R10" s="47" t="e">
        <f>K10+M10</f>
        <v>#REF!</v>
      </c>
      <c r="S10" s="47">
        <v>0</v>
      </c>
    </row>
    <row r="11" spans="1:24" ht="15">
      <c r="B11" s="82">
        <f>B9+B10</f>
        <v>24.15</v>
      </c>
      <c r="C11" s="82">
        <f t="shared" ref="C11:D11" si="0">C9+C10</f>
        <v>47.32</v>
      </c>
      <c r="D11" s="82">
        <f t="shared" si="0"/>
        <v>141.26999999999998</v>
      </c>
      <c r="E11" s="54"/>
      <c r="F11" s="47"/>
      <c r="G11" s="7"/>
      <c r="H11" s="7" t="s">
        <v>93</v>
      </c>
      <c r="I11" s="33"/>
      <c r="J11" s="33"/>
      <c r="K11" s="33"/>
      <c r="L11" s="33"/>
      <c r="M11" s="47"/>
      <c r="N11" s="47"/>
      <c r="O11" s="82">
        <f>SUM(O9:O10)</f>
        <v>51.73</v>
      </c>
      <c r="P11" s="82">
        <f t="shared" ref="P11:Q11" si="1">SUM(P9:P10)</f>
        <v>2648.47</v>
      </c>
      <c r="Q11" s="82">
        <f t="shared" si="1"/>
        <v>3123.2400000000002</v>
      </c>
      <c r="R11" s="47"/>
      <c r="S11" s="47"/>
    </row>
    <row r="12" spans="1:24" ht="15">
      <c r="B12" s="47"/>
      <c r="C12" s="47"/>
      <c r="D12" s="47"/>
      <c r="E12" s="47"/>
      <c r="F12" s="47"/>
      <c r="G12" s="7">
        <v>2</v>
      </c>
      <c r="H12" s="7" t="s">
        <v>13</v>
      </c>
      <c r="I12" s="33"/>
      <c r="J12" s="33"/>
      <c r="K12" s="33"/>
      <c r="L12" s="33"/>
      <c r="M12" s="47"/>
      <c r="N12" s="47"/>
      <c r="O12" s="47"/>
      <c r="P12" s="47"/>
      <c r="Q12" s="47"/>
      <c r="R12" s="47"/>
      <c r="S12" s="47"/>
    </row>
    <row r="13" spans="1:24" ht="15">
      <c r="B13" s="54">
        <v>0</v>
      </c>
      <c r="C13" s="54">
        <f>-2.69</f>
        <v>-2.69</v>
      </c>
      <c r="D13" s="54">
        <f>-2.69</f>
        <v>-2.69</v>
      </c>
      <c r="E13" s="54" t="e">
        <f>#REF!+#REF!</f>
        <v>#REF!</v>
      </c>
      <c r="F13" s="54">
        <f>1126.27</f>
        <v>1126.27</v>
      </c>
      <c r="G13" s="7"/>
      <c r="H13" s="10" t="s">
        <v>61</v>
      </c>
      <c r="I13" s="33" t="e">
        <f>-500.27+#REF!</f>
        <v>#REF!</v>
      </c>
      <c r="J13" s="33">
        <f>463.4</f>
        <v>463.4</v>
      </c>
      <c r="K13" s="33" t="e">
        <f>-1089.51+#REF!</f>
        <v>#REF!</v>
      </c>
      <c r="L13" s="33">
        <f>1396.4</f>
        <v>1396.4</v>
      </c>
      <c r="M13" s="47" t="e">
        <f>#REF!+1617.51</f>
        <v>#REF!</v>
      </c>
      <c r="N13" s="47">
        <v>-270.13</v>
      </c>
      <c r="O13" s="47">
        <f>14.89</f>
        <v>14.89</v>
      </c>
      <c r="P13" s="47">
        <v>817.5</v>
      </c>
      <c r="Q13" s="47">
        <f>332.73</f>
        <v>332.73</v>
      </c>
      <c r="R13" s="47" t="e">
        <f t="shared" ref="R13:R20" si="2">K13+M13</f>
        <v>#REF!</v>
      </c>
      <c r="S13" s="47">
        <f>1126.27</f>
        <v>1126.27</v>
      </c>
    </row>
    <row r="14" spans="1:24" ht="15">
      <c r="B14" s="54">
        <f>10.39</f>
        <v>10.39</v>
      </c>
      <c r="C14" s="54">
        <f>2.99</f>
        <v>2.99</v>
      </c>
      <c r="D14" s="54">
        <f>66.16</f>
        <v>66.16</v>
      </c>
      <c r="E14" s="54" t="e">
        <f>#REF!+#REF!</f>
        <v>#REF!</v>
      </c>
      <c r="F14" s="54">
        <f>791.21</f>
        <v>791.21</v>
      </c>
      <c r="G14" s="7"/>
      <c r="H14" s="7" t="s">
        <v>52</v>
      </c>
      <c r="I14" s="33" t="e">
        <f>500.27+#REF!</f>
        <v>#REF!</v>
      </c>
      <c r="J14" s="33">
        <f>7221.35</f>
        <v>7221.35</v>
      </c>
      <c r="K14" s="33" t="e">
        <f>1679.84+#REF!</f>
        <v>#REF!</v>
      </c>
      <c r="L14" s="33">
        <f>11182.43</f>
        <v>11182.43</v>
      </c>
      <c r="M14" s="47" t="e">
        <f>#REF!</f>
        <v>#REF!</v>
      </c>
      <c r="N14" s="47">
        <f>4920.66</f>
        <v>4920.66</v>
      </c>
      <c r="O14" s="47">
        <f>B14+0</f>
        <v>10.39</v>
      </c>
      <c r="P14" s="47">
        <f>893.9</f>
        <v>893.9</v>
      </c>
      <c r="Q14" s="47">
        <f>1445.84</f>
        <v>1445.84</v>
      </c>
      <c r="R14" s="47" t="e">
        <f t="shared" si="2"/>
        <v>#REF!</v>
      </c>
      <c r="S14" s="47">
        <f>16103.09</f>
        <v>16103.09</v>
      </c>
    </row>
    <row r="15" spans="1:24" ht="15" hidden="1">
      <c r="B15" s="54">
        <v>0</v>
      </c>
      <c r="C15" s="54">
        <v>0</v>
      </c>
      <c r="D15" s="54">
        <v>0</v>
      </c>
      <c r="E15" s="54" t="e">
        <f>#REF!+#REF!</f>
        <v>#REF!</v>
      </c>
      <c r="F15" s="54">
        <f>41.3</f>
        <v>41.3</v>
      </c>
      <c r="G15" s="7"/>
      <c r="H15" s="11" t="s">
        <v>89</v>
      </c>
      <c r="I15" s="33" t="e">
        <f>6.89+#REF!</f>
        <v>#REF!</v>
      </c>
      <c r="J15" s="33">
        <f>9.77</f>
        <v>9.77</v>
      </c>
      <c r="K15" s="33" t="e">
        <f>13.85+#REF!</f>
        <v>#REF!</v>
      </c>
      <c r="L15" s="33">
        <f>42.41</f>
        <v>42.41</v>
      </c>
      <c r="M15" s="47" t="e">
        <f>#REF!+9.07</f>
        <v>#REF!</v>
      </c>
      <c r="N15" s="47">
        <f>11.09</f>
        <v>11.09</v>
      </c>
      <c r="O15" s="47">
        <f>B15</f>
        <v>0</v>
      </c>
      <c r="P15" s="47">
        <v>0</v>
      </c>
      <c r="Q15" s="47">
        <f>+D15</f>
        <v>0</v>
      </c>
      <c r="R15" s="47" t="e">
        <f t="shared" si="2"/>
        <v>#REF!</v>
      </c>
      <c r="S15" s="47">
        <f>53.5</f>
        <v>53.5</v>
      </c>
    </row>
    <row r="16" spans="1:24" ht="15">
      <c r="B16" s="54">
        <f>0.55</f>
        <v>0.55000000000000004</v>
      </c>
      <c r="C16" s="54">
        <f>2.72</f>
        <v>2.72</v>
      </c>
      <c r="D16" s="54">
        <f>17.76</f>
        <v>17.760000000000002</v>
      </c>
      <c r="E16" s="54"/>
      <c r="F16" s="54"/>
      <c r="G16" s="7"/>
      <c r="H16" s="11" t="s">
        <v>97</v>
      </c>
      <c r="I16" s="33"/>
      <c r="J16" s="33"/>
      <c r="K16" s="33"/>
      <c r="L16" s="33"/>
      <c r="M16" s="47"/>
      <c r="N16" s="47"/>
      <c r="O16" s="47">
        <f>B16+53.54</f>
        <v>54.089999999999996</v>
      </c>
      <c r="P16" s="47">
        <f>13.15+2.72</f>
        <v>15.870000000000001</v>
      </c>
      <c r="Q16" s="47">
        <f>193.86</f>
        <v>193.86</v>
      </c>
      <c r="R16" s="47"/>
      <c r="S16" s="47"/>
    </row>
    <row r="17" spans="2:19" ht="15">
      <c r="B17" s="54">
        <f>3.15</f>
        <v>3.15</v>
      </c>
      <c r="C17" s="54">
        <v>0</v>
      </c>
      <c r="D17" s="54">
        <f>0</f>
        <v>0</v>
      </c>
      <c r="E17" s="54"/>
      <c r="F17" s="54"/>
      <c r="G17" s="7"/>
      <c r="H17" s="11" t="s">
        <v>98</v>
      </c>
      <c r="I17" s="33"/>
      <c r="J17" s="33"/>
      <c r="K17" s="33"/>
      <c r="L17" s="33"/>
      <c r="M17" s="47"/>
      <c r="N17" s="47"/>
      <c r="O17" s="47">
        <f>B17+1.96</f>
        <v>5.1099999999999994</v>
      </c>
      <c r="P17" s="47">
        <v>35.630000000000003</v>
      </c>
      <c r="Q17" s="47">
        <f>237.79</f>
        <v>237.79</v>
      </c>
      <c r="R17" s="47"/>
      <c r="S17" s="47"/>
    </row>
    <row r="18" spans="2:19" ht="15">
      <c r="B18" s="54">
        <f>12.16</f>
        <v>12.16</v>
      </c>
      <c r="C18" s="54">
        <f>7.61+2.06+0.45+0.05+0.28</f>
        <v>10.45</v>
      </c>
      <c r="D18" s="54">
        <f>59.26</f>
        <v>59.26</v>
      </c>
      <c r="E18" s="54" t="e">
        <f>#REF!+#REF!</f>
        <v>#REF!</v>
      </c>
      <c r="F18" s="54">
        <f>39.79</f>
        <v>39.79</v>
      </c>
      <c r="G18" s="11"/>
      <c r="H18" s="11" t="s">
        <v>99</v>
      </c>
      <c r="I18" s="33" t="e">
        <f>18.37+#REF!</f>
        <v>#REF!</v>
      </c>
      <c r="J18" s="33">
        <f>16.18</f>
        <v>16.18</v>
      </c>
      <c r="K18" s="33" t="e">
        <f>37.32+#REF!</f>
        <v>#REF!</v>
      </c>
      <c r="L18" s="33">
        <f>30.64</f>
        <v>30.64</v>
      </c>
      <c r="M18" s="47" t="e">
        <f>#REF!+14.39</f>
        <v>#REF!</v>
      </c>
      <c r="N18" s="47">
        <f>18.63</f>
        <v>18.63</v>
      </c>
      <c r="O18" s="47">
        <f>B18+4.53</f>
        <v>16.690000000000001</v>
      </c>
      <c r="P18" s="47">
        <f>23.83</f>
        <v>23.83</v>
      </c>
      <c r="Q18" s="47">
        <f>92.4</f>
        <v>92.4</v>
      </c>
      <c r="R18" s="47" t="e">
        <f t="shared" si="2"/>
        <v>#REF!</v>
      </c>
      <c r="S18" s="47">
        <f>49.27</f>
        <v>49.27</v>
      </c>
    </row>
    <row r="19" spans="2:19" ht="15">
      <c r="B19" s="54">
        <f>2.38</f>
        <v>2.38</v>
      </c>
      <c r="C19" s="54">
        <f>2.71</f>
        <v>2.71</v>
      </c>
      <c r="D19" s="54">
        <f>10.84</f>
        <v>10.84</v>
      </c>
      <c r="E19" s="54" t="e">
        <f>#REF!+#REF!</f>
        <v>#REF!</v>
      </c>
      <c r="F19" s="54">
        <f>14.17</f>
        <v>14.17</v>
      </c>
      <c r="G19" s="11"/>
      <c r="H19" s="11" t="s">
        <v>94</v>
      </c>
      <c r="I19" s="33" t="e">
        <f>10.16+#REF!</f>
        <v>#REF!</v>
      </c>
      <c r="J19" s="33">
        <f>7.76</f>
        <v>7.76</v>
      </c>
      <c r="K19" s="33" t="e">
        <f>16.6+#REF!</f>
        <v>#REF!</v>
      </c>
      <c r="L19" s="33">
        <v>13.08</v>
      </c>
      <c r="M19" s="47" t="e">
        <f>#REF!+11.39</f>
        <v>#REF!</v>
      </c>
      <c r="N19" s="47">
        <f>8.56</f>
        <v>8.56</v>
      </c>
      <c r="O19" s="47">
        <f>B19+1.84</f>
        <v>4.22</v>
      </c>
      <c r="P19" s="47">
        <f>14.59</f>
        <v>14.59</v>
      </c>
      <c r="Q19" s="47">
        <f>51.6</f>
        <v>51.6</v>
      </c>
      <c r="R19" s="47" t="e">
        <f t="shared" si="2"/>
        <v>#REF!</v>
      </c>
      <c r="S19" s="47">
        <f>21.64</f>
        <v>21.64</v>
      </c>
    </row>
    <row r="20" spans="2:19" ht="15">
      <c r="B20" s="54">
        <v>20.54</v>
      </c>
      <c r="C20" s="54">
        <f>62.45-C16-C15-C18-C19-C26-C30-C35</f>
        <v>15.090000000000003</v>
      </c>
      <c r="D20" s="54">
        <f>105.35</f>
        <v>105.35</v>
      </c>
      <c r="E20" s="54" t="e">
        <f>#REF!+#REF!</f>
        <v>#REF!</v>
      </c>
      <c r="F20" s="54">
        <f>238.42</f>
        <v>238.42</v>
      </c>
      <c r="G20" s="11"/>
      <c r="H20" s="7" t="s">
        <v>100</v>
      </c>
      <c r="I20" s="33" t="e">
        <f>467.57+#REF!</f>
        <v>#REF!</v>
      </c>
      <c r="J20" s="33">
        <f>176.03</f>
        <v>176.03</v>
      </c>
      <c r="K20" s="33" t="e">
        <f>733.96+#REF!</f>
        <v>#REF!</v>
      </c>
      <c r="L20" s="33">
        <f>309.76</f>
        <v>309.76</v>
      </c>
      <c r="M20" s="47" t="e">
        <f>#REF!+339.42</f>
        <v>#REF!</v>
      </c>
      <c r="N20" s="47">
        <f>93.21</f>
        <v>93.21</v>
      </c>
      <c r="O20" s="47">
        <f>B20+21.28</f>
        <v>41.82</v>
      </c>
      <c r="P20" s="47">
        <f>231.98-P16-P17</f>
        <v>180.48</v>
      </c>
      <c r="Q20" s="47">
        <f>213.68</f>
        <v>213.68</v>
      </c>
      <c r="R20" s="47" t="e">
        <f t="shared" si="2"/>
        <v>#REF!</v>
      </c>
      <c r="S20" s="47">
        <f>402.97</f>
        <v>402.97</v>
      </c>
    </row>
    <row r="21" spans="2:19" ht="15">
      <c r="B21" s="54">
        <v>0</v>
      </c>
      <c r="C21" s="54">
        <v>0</v>
      </c>
      <c r="D21" s="54">
        <f>115.64</f>
        <v>115.64</v>
      </c>
      <c r="E21" s="54"/>
      <c r="F21" s="54"/>
      <c r="G21" s="11"/>
      <c r="H21" s="7" t="s">
        <v>95</v>
      </c>
      <c r="I21" s="33"/>
      <c r="J21" s="33"/>
      <c r="K21" s="33"/>
      <c r="L21" s="33"/>
      <c r="M21" s="47"/>
      <c r="N21" s="47"/>
      <c r="O21" s="47">
        <f t="shared" ref="O21" si="3">B21+0</f>
        <v>0</v>
      </c>
      <c r="P21" s="47">
        <v>0</v>
      </c>
      <c r="Q21" s="47">
        <f>115.64</f>
        <v>115.64</v>
      </c>
      <c r="R21" s="47"/>
      <c r="S21" s="47"/>
    </row>
    <row r="22" spans="2:19" ht="15">
      <c r="B22" s="48">
        <f>SUM(B13:B21)</f>
        <v>49.17</v>
      </c>
      <c r="C22" s="48">
        <f t="shared" ref="C22:D22" si="4">SUM(C13:C21)</f>
        <v>31.270000000000003</v>
      </c>
      <c r="D22" s="48">
        <f t="shared" si="4"/>
        <v>372.32</v>
      </c>
      <c r="E22" s="48" t="e">
        <f>SUM(E13:E20)</f>
        <v>#REF!</v>
      </c>
      <c r="F22" s="48">
        <f>SUM(F13:F20)</f>
        <v>2251.16</v>
      </c>
      <c r="G22" s="7"/>
      <c r="H22" s="8" t="s">
        <v>96</v>
      </c>
      <c r="I22" s="35" t="e">
        <f t="shared" ref="I22:S22" si="5">SUM(I13:I20)</f>
        <v>#REF!</v>
      </c>
      <c r="J22" s="34">
        <f t="shared" si="5"/>
        <v>7894.4900000000007</v>
      </c>
      <c r="K22" s="34" t="e">
        <f t="shared" si="5"/>
        <v>#REF!</v>
      </c>
      <c r="L22" s="34">
        <f t="shared" si="5"/>
        <v>12974.72</v>
      </c>
      <c r="M22" s="48" t="e">
        <f>SUM(M13:M20)</f>
        <v>#REF!</v>
      </c>
      <c r="N22" s="48">
        <f t="shared" si="5"/>
        <v>4782.0200000000004</v>
      </c>
      <c r="O22" s="48">
        <f>SUM(O13:O21)</f>
        <v>147.21</v>
      </c>
      <c r="P22" s="48">
        <f t="shared" ref="P22:Q22" si="6">SUM(P13:P21)</f>
        <v>1981.8</v>
      </c>
      <c r="Q22" s="48">
        <f t="shared" si="6"/>
        <v>2683.5399999999995</v>
      </c>
      <c r="R22" s="48" t="e">
        <f t="shared" si="5"/>
        <v>#REF!</v>
      </c>
      <c r="S22" s="48">
        <f t="shared" si="5"/>
        <v>17756.740000000002</v>
      </c>
    </row>
    <row r="23" spans="2:19" ht="32.25" customHeight="1">
      <c r="B23" s="45">
        <f>B11-B22</f>
        <v>-25.020000000000003</v>
      </c>
      <c r="C23" s="45">
        <f t="shared" ref="C23:D23" si="7">C11-C22</f>
        <v>16.049999999999997</v>
      </c>
      <c r="D23" s="45">
        <f t="shared" si="7"/>
        <v>-231.05</v>
      </c>
      <c r="E23" s="45" t="e">
        <f>E9+E10-E22</f>
        <v>#REF!</v>
      </c>
      <c r="F23" s="45">
        <f>F9+F10-F22</f>
        <v>1871.92</v>
      </c>
      <c r="G23" s="79">
        <v>3</v>
      </c>
      <c r="H23" s="31" t="s">
        <v>60</v>
      </c>
      <c r="I23" s="32" t="e">
        <f t="shared" ref="I23:S23" si="8">I9+I10-I22</f>
        <v>#REF!</v>
      </c>
      <c r="J23" s="32">
        <f t="shared" si="8"/>
        <v>3387.63</v>
      </c>
      <c r="K23" s="32" t="e">
        <f t="shared" si="8"/>
        <v>#REF!</v>
      </c>
      <c r="L23" s="32">
        <f t="shared" si="8"/>
        <v>6751.7300000000014</v>
      </c>
      <c r="M23" s="45" t="e">
        <f t="shared" si="8"/>
        <v>#REF!</v>
      </c>
      <c r="N23" s="45">
        <f t="shared" si="8"/>
        <v>1899.2699999999995</v>
      </c>
      <c r="O23" s="45">
        <f>O11-O22</f>
        <v>-95.480000000000018</v>
      </c>
      <c r="P23" s="45">
        <f t="shared" ref="P23:Q23" si="9">P11-P22</f>
        <v>666.66999999999985</v>
      </c>
      <c r="Q23" s="45">
        <f t="shared" si="9"/>
        <v>439.70000000000073</v>
      </c>
      <c r="R23" s="45" t="e">
        <f t="shared" si="8"/>
        <v>#REF!</v>
      </c>
      <c r="S23" s="45">
        <f t="shared" si="8"/>
        <v>8651</v>
      </c>
    </row>
    <row r="24" spans="2:19" ht="15">
      <c r="B24" s="54">
        <f>3.38</f>
        <v>3.38</v>
      </c>
      <c r="C24" s="54">
        <f>16.61</f>
        <v>16.61</v>
      </c>
      <c r="D24" s="54">
        <f>126.5</f>
        <v>126.5</v>
      </c>
      <c r="E24" s="54" t="e">
        <f>#REF!+#REF!</f>
        <v>#REF!</v>
      </c>
      <c r="F24" s="54">
        <f>114.86</f>
        <v>114.86</v>
      </c>
      <c r="G24" s="7">
        <v>4</v>
      </c>
      <c r="H24" s="7" t="s">
        <v>11</v>
      </c>
      <c r="I24" s="33" t="e">
        <f>-12.86+#REF!</f>
        <v>#REF!</v>
      </c>
      <c r="J24" s="33">
        <f>13.37</f>
        <v>13.37</v>
      </c>
      <c r="K24" s="33" t="e">
        <f>23.58+#REF!</f>
        <v>#REF!</v>
      </c>
      <c r="L24" s="33">
        <f>48.04</f>
        <v>48.04</v>
      </c>
      <c r="M24" s="47" t="e">
        <f>#REF!+130.99</f>
        <v>#REF!</v>
      </c>
      <c r="N24" s="47">
        <f>111.33</f>
        <v>111.33</v>
      </c>
      <c r="O24" s="47">
        <f>B24+21.52</f>
        <v>24.9</v>
      </c>
      <c r="P24" s="47">
        <f>49.89</f>
        <v>49.89</v>
      </c>
      <c r="Q24" s="47">
        <f>166.72</f>
        <v>166.72</v>
      </c>
      <c r="R24" s="47" t="e">
        <f>K24+M24</f>
        <v>#REF!</v>
      </c>
      <c r="S24" s="47">
        <f>159.37</f>
        <v>159.37</v>
      </c>
    </row>
    <row r="25" spans="2:19" ht="15">
      <c r="B25" s="45">
        <f>B23+B24</f>
        <v>-21.640000000000004</v>
      </c>
      <c r="C25" s="45">
        <f t="shared" ref="C25:D25" si="10">C23+C24</f>
        <v>32.659999999999997</v>
      </c>
      <c r="D25" s="45">
        <f t="shared" si="10"/>
        <v>-104.55000000000001</v>
      </c>
      <c r="E25" s="48" t="e">
        <f>#REF!+#REF!</f>
        <v>#REF!</v>
      </c>
      <c r="F25" s="45">
        <f>SUM(F23:F24)</f>
        <v>1986.78</v>
      </c>
      <c r="G25" s="8">
        <v>5</v>
      </c>
      <c r="H25" s="17" t="s">
        <v>75</v>
      </c>
      <c r="I25" s="32" t="e">
        <f t="shared" ref="I25:S25" si="11">SUM(I23:I24)</f>
        <v>#REF!</v>
      </c>
      <c r="J25" s="32">
        <f t="shared" si="11"/>
        <v>3401</v>
      </c>
      <c r="K25" s="32" t="e">
        <f t="shared" si="11"/>
        <v>#REF!</v>
      </c>
      <c r="L25" s="32">
        <f t="shared" si="11"/>
        <v>6799.7700000000013</v>
      </c>
      <c r="M25" s="45" t="e">
        <f t="shared" si="11"/>
        <v>#REF!</v>
      </c>
      <c r="N25" s="45">
        <f t="shared" si="11"/>
        <v>2010.5999999999995</v>
      </c>
      <c r="O25" s="45">
        <f>O23+O24</f>
        <v>-70.580000000000013</v>
      </c>
      <c r="P25" s="45">
        <f t="shared" ref="P25:Q25" si="12">P23+P24</f>
        <v>716.55999999999983</v>
      </c>
      <c r="Q25" s="45">
        <f t="shared" si="12"/>
        <v>606.42000000000075</v>
      </c>
      <c r="R25" s="45" t="e">
        <f t="shared" si="11"/>
        <v>#REF!</v>
      </c>
      <c r="S25" s="45">
        <f t="shared" si="11"/>
        <v>8810.3700000000008</v>
      </c>
    </row>
    <row r="26" spans="2:19" ht="15">
      <c r="B26" s="54">
        <v>0</v>
      </c>
      <c r="C26" s="54">
        <f>9.76+6.07+12.54</f>
        <v>28.369999999999997</v>
      </c>
      <c r="D26" s="54">
        <f>86.76</f>
        <v>86.76</v>
      </c>
      <c r="E26" s="54" t="e">
        <f>#REF!+#REF!</f>
        <v>#REF!</v>
      </c>
      <c r="F26" s="54">
        <v>172.62</v>
      </c>
      <c r="G26" s="7">
        <v>6</v>
      </c>
      <c r="H26" s="7" t="s">
        <v>19</v>
      </c>
      <c r="I26" s="33" t="e">
        <f>44.54+#REF!</f>
        <v>#REF!</v>
      </c>
      <c r="J26" s="33">
        <f>55.86</f>
        <v>55.86</v>
      </c>
      <c r="K26" s="33" t="e">
        <f>165.49+#REF!</f>
        <v>#REF!</v>
      </c>
      <c r="L26" s="33">
        <f>117.55</f>
        <v>117.55</v>
      </c>
      <c r="M26" s="47" t="e">
        <f>#REF!</f>
        <v>#REF!</v>
      </c>
      <c r="N26" s="47">
        <f>58.59</f>
        <v>58.59</v>
      </c>
      <c r="O26" s="47">
        <v>0.1</v>
      </c>
      <c r="P26" s="47">
        <f>30.95</f>
        <v>30.95</v>
      </c>
      <c r="Q26" s="47">
        <f>113.88</f>
        <v>113.88</v>
      </c>
      <c r="R26" s="47" t="e">
        <f>K26+M26</f>
        <v>#REF!</v>
      </c>
      <c r="S26" s="47">
        <f>176.14</f>
        <v>176.14</v>
      </c>
    </row>
    <row r="27" spans="2:19" ht="15">
      <c r="B27" s="45">
        <f>B25-B26</f>
        <v>-21.640000000000004</v>
      </c>
      <c r="C27" s="45">
        <f t="shared" ref="C27:D27" si="13">C25-C26</f>
        <v>4.2899999999999991</v>
      </c>
      <c r="D27" s="45">
        <f t="shared" si="13"/>
        <v>-191.31</v>
      </c>
      <c r="E27" s="45" t="e">
        <f>E25-E26</f>
        <v>#REF!</v>
      </c>
      <c r="F27" s="45">
        <f>F25-F26</f>
        <v>1814.1599999999999</v>
      </c>
      <c r="G27" s="8">
        <v>7</v>
      </c>
      <c r="H27" s="17" t="s">
        <v>74</v>
      </c>
      <c r="I27" s="32" t="e">
        <f t="shared" ref="I27:S27" si="14">I25-I26</f>
        <v>#REF!</v>
      </c>
      <c r="J27" s="32">
        <f t="shared" si="14"/>
        <v>3345.14</v>
      </c>
      <c r="K27" s="32" t="e">
        <f t="shared" si="14"/>
        <v>#REF!</v>
      </c>
      <c r="L27" s="32">
        <f t="shared" si="14"/>
        <v>6682.2200000000012</v>
      </c>
      <c r="M27" s="45" t="e">
        <f t="shared" si="14"/>
        <v>#REF!</v>
      </c>
      <c r="N27" s="45">
        <f t="shared" si="14"/>
        <v>1952.0099999999995</v>
      </c>
      <c r="O27" s="45">
        <f t="shared" si="14"/>
        <v>-70.680000000000007</v>
      </c>
      <c r="P27" s="45">
        <f t="shared" si="14"/>
        <v>685.60999999999979</v>
      </c>
      <c r="Q27" s="45">
        <f t="shared" si="14"/>
        <v>492.54000000000076</v>
      </c>
      <c r="R27" s="45" t="e">
        <f t="shared" si="14"/>
        <v>#REF!</v>
      </c>
      <c r="S27" s="45">
        <f t="shared" si="14"/>
        <v>8634.2300000000014</v>
      </c>
    </row>
    <row r="28" spans="2:19" ht="15">
      <c r="B28" s="47">
        <v>0</v>
      </c>
      <c r="C28" s="47">
        <v>0</v>
      </c>
      <c r="D28" s="47">
        <f>-296.89</f>
        <v>-296.89</v>
      </c>
      <c r="E28" s="47" t="e">
        <f>#REF!+#REF!</f>
        <v>#REF!</v>
      </c>
      <c r="F28" s="47">
        <v>0</v>
      </c>
      <c r="G28" s="7">
        <v>8</v>
      </c>
      <c r="H28" s="7" t="s">
        <v>20</v>
      </c>
      <c r="I28" s="33" t="e">
        <f>#REF!</f>
        <v>#REF!</v>
      </c>
      <c r="J28" s="33">
        <v>0</v>
      </c>
      <c r="K28" s="33" t="e">
        <f>#REF!</f>
        <v>#REF!</v>
      </c>
      <c r="L28" s="33">
        <v>0</v>
      </c>
      <c r="M28" s="47" t="e">
        <f>#REF!</f>
        <v>#REF!</v>
      </c>
      <c r="N28" s="47">
        <v>0</v>
      </c>
      <c r="O28" s="47">
        <f>B28+0</f>
        <v>0</v>
      </c>
      <c r="P28" s="47">
        <v>0</v>
      </c>
      <c r="Q28" s="47">
        <v>-379.9</v>
      </c>
      <c r="R28" s="47" t="e">
        <f>K28+M28</f>
        <v>#REF!</v>
      </c>
      <c r="S28" s="47">
        <v>0</v>
      </c>
    </row>
    <row r="29" spans="2:19" ht="15">
      <c r="B29" s="45">
        <f>B27+B28</f>
        <v>-21.640000000000004</v>
      </c>
      <c r="C29" s="45">
        <f t="shared" ref="C29:D29" si="15">C27+C28</f>
        <v>4.2899999999999991</v>
      </c>
      <c r="D29" s="45">
        <f t="shared" si="15"/>
        <v>-488.2</v>
      </c>
      <c r="E29" s="45" t="e">
        <f>#REF!+#REF!</f>
        <v>#REF!</v>
      </c>
      <c r="F29" s="45">
        <f>F27+F28</f>
        <v>1814.1599999999999</v>
      </c>
      <c r="G29" s="8">
        <v>9</v>
      </c>
      <c r="H29" s="12" t="s">
        <v>73</v>
      </c>
      <c r="I29" s="32" t="e">
        <f t="shared" ref="I29:S29" si="16">I27+I28</f>
        <v>#REF!</v>
      </c>
      <c r="J29" s="32">
        <f t="shared" si="16"/>
        <v>3345.14</v>
      </c>
      <c r="K29" s="32" t="e">
        <f t="shared" si="16"/>
        <v>#REF!</v>
      </c>
      <c r="L29" s="32">
        <f t="shared" si="16"/>
        <v>6682.2200000000012</v>
      </c>
      <c r="M29" s="45" t="e">
        <f t="shared" si="16"/>
        <v>#REF!</v>
      </c>
      <c r="N29" s="45">
        <f t="shared" si="16"/>
        <v>1952.0099999999995</v>
      </c>
      <c r="O29" s="45">
        <f t="shared" si="16"/>
        <v>-70.680000000000007</v>
      </c>
      <c r="P29" s="45">
        <f t="shared" si="16"/>
        <v>685.60999999999979</v>
      </c>
      <c r="Q29" s="45">
        <f t="shared" si="16"/>
        <v>112.64000000000078</v>
      </c>
      <c r="R29" s="45" t="e">
        <f t="shared" si="16"/>
        <v>#REF!</v>
      </c>
      <c r="S29" s="45">
        <f t="shared" si="16"/>
        <v>8634.2300000000014</v>
      </c>
    </row>
    <row r="30" spans="2:19" ht="15">
      <c r="B30" s="54">
        <v>0</v>
      </c>
      <c r="C30" s="54">
        <v>0</v>
      </c>
      <c r="D30" s="47">
        <v>0</v>
      </c>
      <c r="E30" s="47" t="e">
        <f>#REF!+#REF!</f>
        <v>#REF!</v>
      </c>
      <c r="F30" s="54">
        <f>281.92</f>
        <v>281.92</v>
      </c>
      <c r="G30" s="14">
        <v>10</v>
      </c>
      <c r="H30" s="7" t="s">
        <v>22</v>
      </c>
      <c r="I30" s="33" t="e">
        <f>#REF!</f>
        <v>#REF!</v>
      </c>
      <c r="J30" s="33">
        <f>135+0.45</f>
        <v>135.44999999999999</v>
      </c>
      <c r="K30" s="33" t="e">
        <f>#REF!</f>
        <v>#REF!</v>
      </c>
      <c r="L30" s="33">
        <f>611+0.9</f>
        <v>611.9</v>
      </c>
      <c r="M30" s="47" t="e">
        <f>#REF!</f>
        <v>#REF!</v>
      </c>
      <c r="N30" s="47">
        <v>-329.98</v>
      </c>
      <c r="O30" s="47">
        <f>B30+0</f>
        <v>0</v>
      </c>
      <c r="P30" s="47">
        <v>0</v>
      </c>
      <c r="Q30" s="47">
        <f>D30</f>
        <v>0</v>
      </c>
      <c r="R30" s="47" t="e">
        <f>K30+M30</f>
        <v>#REF!</v>
      </c>
      <c r="S30" s="47">
        <f>281.92</f>
        <v>281.92</v>
      </c>
    </row>
    <row r="31" spans="2:19" ht="15">
      <c r="B31" s="54">
        <v>0</v>
      </c>
      <c r="C31" s="54">
        <v>0</v>
      </c>
      <c r="D31" s="47">
        <v>0</v>
      </c>
      <c r="E31" s="47"/>
      <c r="F31" s="54"/>
      <c r="G31" s="14"/>
      <c r="H31" s="7" t="s">
        <v>101</v>
      </c>
      <c r="I31" s="33"/>
      <c r="J31" s="33"/>
      <c r="K31" s="33"/>
      <c r="L31" s="33"/>
      <c r="M31" s="47"/>
      <c r="N31" s="47"/>
      <c r="O31" s="47">
        <f>B31+0</f>
        <v>0</v>
      </c>
      <c r="P31" s="47">
        <v>0</v>
      </c>
      <c r="Q31" s="47">
        <v>0</v>
      </c>
      <c r="R31" s="47"/>
      <c r="S31" s="47"/>
    </row>
    <row r="32" spans="2:19" ht="15">
      <c r="B32" s="54">
        <v>0</v>
      </c>
      <c r="C32" s="54">
        <v>0</v>
      </c>
      <c r="D32" s="47">
        <v>9.0299999999999994</v>
      </c>
      <c r="E32" s="47"/>
      <c r="F32" s="54"/>
      <c r="G32" s="14"/>
      <c r="H32" s="7" t="s">
        <v>102</v>
      </c>
      <c r="I32" s="33"/>
      <c r="J32" s="33"/>
      <c r="K32" s="33"/>
      <c r="L32" s="33"/>
      <c r="M32" s="47"/>
      <c r="N32" s="47"/>
      <c r="O32" s="47">
        <f>B32+0</f>
        <v>0</v>
      </c>
      <c r="P32" s="47">
        <v>0</v>
      </c>
      <c r="Q32" s="47">
        <f>9.03</f>
        <v>9.0299999999999994</v>
      </c>
      <c r="R32" s="47"/>
      <c r="S32" s="47"/>
    </row>
    <row r="33" spans="2:19" ht="15">
      <c r="B33" s="89">
        <f>B31+B32</f>
        <v>0</v>
      </c>
      <c r="C33" s="89">
        <f t="shared" ref="C33:D33" si="17">C31+C32</f>
        <v>0</v>
      </c>
      <c r="D33" s="89">
        <f t="shared" si="17"/>
        <v>9.0299999999999994</v>
      </c>
      <c r="E33" s="54">
        <f t="shared" ref="E33:F33" si="18">E31+E32</f>
        <v>0</v>
      </c>
      <c r="F33" s="54">
        <f t="shared" si="18"/>
        <v>0</v>
      </c>
      <c r="G33" s="14"/>
      <c r="H33" s="8" t="s">
        <v>103</v>
      </c>
      <c r="I33" s="9"/>
      <c r="J33" s="9"/>
      <c r="K33" s="9"/>
      <c r="L33" s="9"/>
      <c r="M33" s="82"/>
      <c r="N33" s="82"/>
      <c r="O33" s="82">
        <f>SUM(O31:O32)</f>
        <v>0</v>
      </c>
      <c r="P33" s="82">
        <f>SUM(P31:P32)</f>
        <v>0</v>
      </c>
      <c r="Q33" s="82">
        <f t="shared" ref="Q33" si="19">SUM(Q31:Q32)</f>
        <v>9.0299999999999994</v>
      </c>
      <c r="R33" s="47"/>
      <c r="S33" s="47"/>
    </row>
    <row r="34" spans="2:19" ht="14.25" customHeight="1">
      <c r="B34" s="45">
        <f>B29-B33</f>
        <v>-21.640000000000004</v>
      </c>
      <c r="C34" s="45">
        <f t="shared" ref="C34:D34" si="20">C29-C33</f>
        <v>4.2899999999999991</v>
      </c>
      <c r="D34" s="45">
        <f t="shared" si="20"/>
        <v>-497.22999999999996</v>
      </c>
      <c r="E34" s="45" t="e">
        <f>E29-E30</f>
        <v>#REF!</v>
      </c>
      <c r="F34" s="45">
        <f>F29-F30</f>
        <v>1532.2399999999998</v>
      </c>
      <c r="G34" s="8">
        <v>11</v>
      </c>
      <c r="H34" s="13" t="s">
        <v>72</v>
      </c>
      <c r="I34" s="32" t="e">
        <f t="shared" ref="I34:S34" si="21">I29-I30</f>
        <v>#REF!</v>
      </c>
      <c r="J34" s="32">
        <f t="shared" si="21"/>
        <v>3209.69</v>
      </c>
      <c r="K34" s="32" t="e">
        <f t="shared" si="21"/>
        <v>#REF!</v>
      </c>
      <c r="L34" s="32">
        <f t="shared" si="21"/>
        <v>6070.3200000000015</v>
      </c>
      <c r="M34" s="45" t="e">
        <f t="shared" si="21"/>
        <v>#REF!</v>
      </c>
      <c r="N34" s="45">
        <f t="shared" si="21"/>
        <v>2281.9899999999998</v>
      </c>
      <c r="O34" s="45">
        <f>O29-O33</f>
        <v>-70.680000000000007</v>
      </c>
      <c r="P34" s="45">
        <f t="shared" ref="P34:Q34" si="22">P29-P33</f>
        <v>685.60999999999979</v>
      </c>
      <c r="Q34" s="45">
        <f t="shared" si="22"/>
        <v>103.61000000000078</v>
      </c>
      <c r="R34" s="45" t="e">
        <f t="shared" si="21"/>
        <v>#REF!</v>
      </c>
      <c r="S34" s="45">
        <f t="shared" si="21"/>
        <v>8352.3100000000013</v>
      </c>
    </row>
    <row r="35" spans="2:19" ht="15">
      <c r="B35" s="54">
        <v>0</v>
      </c>
      <c r="C35" s="54">
        <f>3.11</f>
        <v>3.11</v>
      </c>
      <c r="D35" s="47">
        <v>16.739999999999998</v>
      </c>
      <c r="E35" s="47" t="e">
        <f>#REF!+#REF!</f>
        <v>#REF!</v>
      </c>
      <c r="F35" s="54">
        <v>0</v>
      </c>
      <c r="G35" s="7">
        <v>12</v>
      </c>
      <c r="H35" s="7" t="s">
        <v>24</v>
      </c>
      <c r="I35" s="33" t="e">
        <f>#REF!</f>
        <v>#REF!</v>
      </c>
      <c r="J35" s="33">
        <v>0</v>
      </c>
      <c r="K35" s="33" t="e">
        <f>#REF!</f>
        <v>#REF!</v>
      </c>
      <c r="L35" s="33">
        <v>0</v>
      </c>
      <c r="M35" s="47" t="e">
        <f>#REF!</f>
        <v>#REF!</v>
      </c>
      <c r="N35" s="47">
        <v>0</v>
      </c>
      <c r="O35" s="47">
        <f>B35</f>
        <v>0</v>
      </c>
      <c r="P35" s="47">
        <f>3.11</f>
        <v>3.11</v>
      </c>
      <c r="Q35" s="47">
        <f>16.74</f>
        <v>16.739999999999998</v>
      </c>
      <c r="R35" s="47" t="e">
        <f>K35+M35</f>
        <v>#REF!</v>
      </c>
      <c r="S35" s="47">
        <v>0</v>
      </c>
    </row>
    <row r="36" spans="2:19" ht="15">
      <c r="B36" s="61">
        <f>B34-B35</f>
        <v>-21.640000000000004</v>
      </c>
      <c r="C36" s="61">
        <f t="shared" ref="C36:D36" si="23">C34-C35</f>
        <v>1.1799999999999993</v>
      </c>
      <c r="D36" s="61">
        <f t="shared" si="23"/>
        <v>-513.96999999999991</v>
      </c>
      <c r="E36" s="61" t="e">
        <f>E34-E35</f>
        <v>#REF!</v>
      </c>
      <c r="F36" s="45">
        <f>F34-F35</f>
        <v>1532.2399999999998</v>
      </c>
      <c r="G36" s="8">
        <v>13</v>
      </c>
      <c r="H36" s="8" t="s">
        <v>71</v>
      </c>
      <c r="I36" s="32" t="e">
        <f t="shared" ref="I36:S36" si="24">I34-I35</f>
        <v>#REF!</v>
      </c>
      <c r="J36" s="32">
        <f t="shared" si="24"/>
        <v>3209.69</v>
      </c>
      <c r="K36" s="32" t="e">
        <f t="shared" si="24"/>
        <v>#REF!</v>
      </c>
      <c r="L36" s="32">
        <f t="shared" si="24"/>
        <v>6070.3200000000015</v>
      </c>
      <c r="M36" s="45" t="e">
        <f t="shared" si="24"/>
        <v>#REF!</v>
      </c>
      <c r="N36" s="45">
        <f t="shared" si="24"/>
        <v>2281.9899999999998</v>
      </c>
      <c r="O36" s="45">
        <f>O34-O35</f>
        <v>-70.680000000000007</v>
      </c>
      <c r="P36" s="45">
        <f t="shared" ref="P36:Q36" si="25">P34-P35</f>
        <v>682.49999999999977</v>
      </c>
      <c r="Q36" s="45">
        <f t="shared" si="25"/>
        <v>86.870000000000786</v>
      </c>
      <c r="R36" s="45" t="e">
        <f t="shared" si="24"/>
        <v>#REF!</v>
      </c>
      <c r="S36" s="45">
        <f t="shared" si="24"/>
        <v>8352.3100000000013</v>
      </c>
    </row>
    <row r="37" spans="2:19" ht="30">
      <c r="B37" s="59">
        <f>8261.68</f>
        <v>8261.68</v>
      </c>
      <c r="C37" s="59">
        <f>8261.68</f>
        <v>8261.68</v>
      </c>
      <c r="D37" s="59">
        <f>8261.68</f>
        <v>8261.68</v>
      </c>
      <c r="E37" s="59">
        <f>8261.68</f>
        <v>8261.68</v>
      </c>
      <c r="F37" s="54">
        <f>8079.2</f>
        <v>8079.2</v>
      </c>
      <c r="G37" s="14">
        <v>14</v>
      </c>
      <c r="H37" s="14" t="s">
        <v>53</v>
      </c>
      <c r="I37" s="33" t="e">
        <f>#REF!</f>
        <v>#REF!</v>
      </c>
      <c r="J37" s="33">
        <f>5932</f>
        <v>5932</v>
      </c>
      <c r="K37" s="33" t="e">
        <f>#REF!</f>
        <v>#REF!</v>
      </c>
      <c r="L37" s="33">
        <f>5932</f>
        <v>5932</v>
      </c>
      <c r="M37" s="47" t="e">
        <f>#REF!</f>
        <v>#REF!</v>
      </c>
      <c r="N37" s="47">
        <f>8079.2</f>
        <v>8079.2</v>
      </c>
      <c r="O37" s="47">
        <f>8261.68</f>
        <v>8261.68</v>
      </c>
      <c r="P37" s="47">
        <f>8261.68</f>
        <v>8261.68</v>
      </c>
      <c r="Q37" s="47">
        <f>8261.68</f>
        <v>8261.68</v>
      </c>
      <c r="R37" s="47">
        <f>8261.68</f>
        <v>8261.68</v>
      </c>
      <c r="S37" s="47">
        <f>8079.2</f>
        <v>8079.2</v>
      </c>
    </row>
    <row r="38" spans="2:19" ht="15">
      <c r="B38" s="54"/>
      <c r="C38" s="54"/>
      <c r="D38" s="54">
        <f>28523.64</f>
        <v>28523.64</v>
      </c>
      <c r="E38" s="54">
        <v>0</v>
      </c>
      <c r="F38" s="54">
        <v>0</v>
      </c>
      <c r="G38" s="14">
        <v>15</v>
      </c>
      <c r="H38" s="14" t="s">
        <v>54</v>
      </c>
      <c r="I38" s="33">
        <v>0</v>
      </c>
      <c r="J38" s="33">
        <v>0</v>
      </c>
      <c r="K38" s="33"/>
      <c r="L38" s="33">
        <v>0</v>
      </c>
      <c r="M38" s="47">
        <v>0</v>
      </c>
      <c r="N38" s="47">
        <v>0</v>
      </c>
      <c r="O38" s="47">
        <v>0</v>
      </c>
      <c r="P38" s="47">
        <v>0</v>
      </c>
      <c r="Q38" s="47">
        <f>44008.96</f>
        <v>44008.959999999999</v>
      </c>
      <c r="R38" s="47">
        <v>0</v>
      </c>
      <c r="S38" s="47">
        <v>0</v>
      </c>
    </row>
    <row r="39" spans="2:19" ht="15">
      <c r="B39" s="47"/>
      <c r="C39" s="47"/>
      <c r="D39" s="47"/>
      <c r="E39" s="47"/>
      <c r="F39" s="47"/>
      <c r="G39" s="7">
        <v>16</v>
      </c>
      <c r="H39" s="7" t="s">
        <v>27</v>
      </c>
      <c r="I39" s="33"/>
      <c r="J39" s="33"/>
      <c r="K39" s="33"/>
      <c r="L39" s="33"/>
      <c r="M39" s="47"/>
      <c r="N39" s="47"/>
      <c r="O39" s="47"/>
      <c r="P39" s="47"/>
      <c r="Q39" s="47"/>
      <c r="R39" s="47"/>
      <c r="S39" s="47"/>
    </row>
    <row r="40" spans="2:19" ht="45">
      <c r="B40" s="54">
        <f>B34/B37*10</f>
        <v>-2.6193219780964651E-2</v>
      </c>
      <c r="C40" s="54">
        <f>C34/C37*10</f>
        <v>5.1926484685923431E-3</v>
      </c>
      <c r="D40" s="54">
        <f>D34/D37*10</f>
        <v>-0.60185095525365295</v>
      </c>
      <c r="E40" s="54" t="e">
        <f>E34/E37*10</f>
        <v>#REF!</v>
      </c>
      <c r="F40" s="54">
        <f>2.58</f>
        <v>2.58</v>
      </c>
      <c r="G40" s="6"/>
      <c r="H40" s="15" t="s">
        <v>30</v>
      </c>
      <c r="I40" s="33" t="e">
        <f>I34/I37*10</f>
        <v>#REF!</v>
      </c>
      <c r="J40" s="33">
        <f>J34/J37*10</f>
        <v>5.4108057990559679</v>
      </c>
      <c r="K40" s="33" t="e">
        <f>K34/K37*10</f>
        <v>#REF!</v>
      </c>
      <c r="L40" s="33">
        <f>L34/L37*10</f>
        <v>10.233175994605531</v>
      </c>
      <c r="M40" s="47" t="e">
        <f>M34/M37*10</f>
        <v>#REF!</v>
      </c>
      <c r="N40" s="47">
        <f>3.85</f>
        <v>3.85</v>
      </c>
      <c r="O40" s="47">
        <f>O34/O37*10</f>
        <v>-8.5551606937087854E-2</v>
      </c>
      <c r="P40" s="47">
        <f>P34/P37*10</f>
        <v>0.82986753299571003</v>
      </c>
      <c r="Q40" s="47">
        <f>Q34/Q37*10</f>
        <v>0.12541032816570091</v>
      </c>
      <c r="R40" s="47" t="e">
        <f>R34/R37*10</f>
        <v>#REF!</v>
      </c>
      <c r="S40" s="47">
        <v>14.08</v>
      </c>
    </row>
    <row r="41" spans="2:19" ht="45">
      <c r="B41" s="58">
        <f>B36/B37*10</f>
        <v>-2.6193219780964651E-2</v>
      </c>
      <c r="C41" s="54">
        <f>C36/C37*10</f>
        <v>1.4282809307550027E-3</v>
      </c>
      <c r="D41" s="54">
        <f>D36/D37*10</f>
        <v>-0.62211317794927901</v>
      </c>
      <c r="E41" s="57" t="e">
        <f>E36/E37*10</f>
        <v>#REF!</v>
      </c>
      <c r="F41" s="54">
        <f>2.58</f>
        <v>2.58</v>
      </c>
      <c r="G41" s="11"/>
      <c r="H41" s="15" t="s">
        <v>51</v>
      </c>
      <c r="I41" s="33" t="e">
        <f>I36/I37*10</f>
        <v>#REF!</v>
      </c>
      <c r="J41" s="33">
        <f>J36/J37*10</f>
        <v>5.4108057990559679</v>
      </c>
      <c r="K41" s="33" t="e">
        <f>K36/K37*10</f>
        <v>#REF!</v>
      </c>
      <c r="L41" s="33">
        <f>L36/L37*10</f>
        <v>10.233175994605531</v>
      </c>
      <c r="M41" s="47" t="e">
        <f>M36/M37*10</f>
        <v>#REF!</v>
      </c>
      <c r="N41" s="47">
        <f>3.85</f>
        <v>3.85</v>
      </c>
      <c r="O41" s="47">
        <f>O36/O37*10</f>
        <v>-8.5551606937087854E-2</v>
      </c>
      <c r="P41" s="47">
        <f>P36/P37*10</f>
        <v>0.82610316545787266</v>
      </c>
      <c r="Q41" s="47">
        <f>Q36/Q37*10</f>
        <v>0.10514810547007483</v>
      </c>
      <c r="R41" s="47" t="e">
        <f>R36/R37*10</f>
        <v>#REF!</v>
      </c>
      <c r="S41" s="47">
        <v>14.08</v>
      </c>
    </row>
    <row r="42" spans="2:19" ht="15">
      <c r="B42" s="47"/>
      <c r="C42" s="47"/>
      <c r="D42" s="47"/>
      <c r="E42" s="47"/>
      <c r="F42" s="47"/>
      <c r="G42" s="11">
        <v>17</v>
      </c>
      <c r="H42" s="11" t="s">
        <v>32</v>
      </c>
      <c r="I42" s="33"/>
      <c r="J42" s="33"/>
      <c r="K42" s="33"/>
      <c r="L42" s="33"/>
      <c r="M42" s="47"/>
      <c r="N42" s="47"/>
      <c r="O42" s="47"/>
      <c r="P42" s="47"/>
      <c r="Q42" s="47"/>
      <c r="R42" s="47"/>
      <c r="S42" s="47"/>
    </row>
    <row r="43" spans="2:19" ht="15">
      <c r="B43" s="83">
        <f>62382276</f>
        <v>62382276</v>
      </c>
      <c r="C43" s="49">
        <v>28363687</v>
      </c>
      <c r="D43" s="83">
        <f>50295672</f>
        <v>50295672</v>
      </c>
      <c r="E43" s="52">
        <v>28508695</v>
      </c>
      <c r="F43" s="49">
        <f>26150658</f>
        <v>26150658</v>
      </c>
      <c r="G43" s="11"/>
      <c r="H43" s="11" t="s">
        <v>34</v>
      </c>
      <c r="I43" s="38">
        <v>28897151</v>
      </c>
      <c r="J43" s="36">
        <f>26150658</f>
        <v>26150658</v>
      </c>
      <c r="K43" s="38">
        <v>28897151</v>
      </c>
      <c r="L43" s="36">
        <f>26150658</f>
        <v>26150658</v>
      </c>
      <c r="M43" s="52">
        <v>28508695</v>
      </c>
      <c r="N43" s="49">
        <f>26150658</f>
        <v>26150658</v>
      </c>
      <c r="O43" s="49">
        <f>B43</f>
        <v>62382276</v>
      </c>
      <c r="P43" s="49">
        <f>28363687</f>
        <v>28363687</v>
      </c>
      <c r="Q43" s="49">
        <f>D43</f>
        <v>50295672</v>
      </c>
      <c r="R43" s="52">
        <v>28508695</v>
      </c>
      <c r="S43" s="49">
        <f>26150658</f>
        <v>26150658</v>
      </c>
    </row>
    <row r="44" spans="2:19" ht="15">
      <c r="B44" s="84">
        <v>0.75509999999999999</v>
      </c>
      <c r="C44" s="50">
        <v>0.34329999999999999</v>
      </c>
      <c r="D44" s="84">
        <v>0.60880000000000001</v>
      </c>
      <c r="E44" s="53">
        <v>0.34510000000000002</v>
      </c>
      <c r="F44" s="50">
        <v>0.32369999999999999</v>
      </c>
      <c r="G44" s="11"/>
      <c r="H44" s="11" t="s">
        <v>33</v>
      </c>
      <c r="I44" s="39">
        <v>0.3498</v>
      </c>
      <c r="J44" s="37">
        <v>0.44080000000000003</v>
      </c>
      <c r="K44" s="39">
        <v>0.3498</v>
      </c>
      <c r="L44" s="37">
        <v>0.44080000000000003</v>
      </c>
      <c r="M44" s="53">
        <v>0.34510000000000002</v>
      </c>
      <c r="N44" s="50">
        <v>0.32369999999999999</v>
      </c>
      <c r="O44" s="50">
        <f>B44</f>
        <v>0.75509999999999999</v>
      </c>
      <c r="P44" s="50">
        <f>34.33%</f>
        <v>0.34329999999999999</v>
      </c>
      <c r="Q44" s="50">
        <f>D44</f>
        <v>0.60880000000000001</v>
      </c>
      <c r="R44" s="53">
        <v>0.34510000000000002</v>
      </c>
      <c r="S44" s="50">
        <v>0.32369999999999999</v>
      </c>
    </row>
    <row r="45" spans="2:19" ht="16.5" customHeight="1">
      <c r="B45" s="84"/>
      <c r="C45" s="50"/>
      <c r="D45" s="84"/>
      <c r="E45" s="53"/>
      <c r="F45" s="50"/>
      <c r="G45" s="69">
        <v>18</v>
      </c>
      <c r="H45" s="78" t="s">
        <v>83</v>
      </c>
      <c r="I45" s="39"/>
      <c r="J45" s="37"/>
      <c r="K45" s="39"/>
      <c r="L45" s="37"/>
      <c r="M45" s="53"/>
      <c r="N45" s="50"/>
      <c r="O45" s="50"/>
      <c r="P45" s="50"/>
      <c r="Q45" s="50"/>
      <c r="R45" s="53"/>
      <c r="S45" s="66"/>
    </row>
    <row r="46" spans="2:19" ht="18" customHeight="1">
      <c r="B46" s="85" t="s">
        <v>76</v>
      </c>
      <c r="C46" s="71" t="s">
        <v>76</v>
      </c>
      <c r="D46" s="85" t="s">
        <v>76</v>
      </c>
      <c r="E46" s="71" t="s">
        <v>76</v>
      </c>
      <c r="F46" s="50"/>
      <c r="G46" s="11"/>
      <c r="H46" s="70" t="s">
        <v>81</v>
      </c>
      <c r="I46" s="39"/>
      <c r="J46" s="37"/>
      <c r="K46" s="39"/>
      <c r="L46" s="37"/>
      <c r="M46" s="53"/>
      <c r="N46" s="50"/>
      <c r="O46" s="71" t="str">
        <f t="shared" ref="O46:O51" si="26">B46</f>
        <v>Nil</v>
      </c>
      <c r="P46" s="71" t="s">
        <v>76</v>
      </c>
      <c r="Q46" s="71" t="str">
        <f t="shared" ref="Q46:Q51" si="27">D46</f>
        <v>Nil</v>
      </c>
      <c r="R46" s="71" t="s">
        <v>76</v>
      </c>
      <c r="S46" s="66"/>
    </row>
    <row r="47" spans="2:19" ht="30">
      <c r="B47" s="85" t="s">
        <v>76</v>
      </c>
      <c r="C47" s="71" t="s">
        <v>76</v>
      </c>
      <c r="D47" s="85" t="s">
        <v>76</v>
      </c>
      <c r="E47" s="71" t="s">
        <v>76</v>
      </c>
      <c r="F47" s="50"/>
      <c r="G47" s="11"/>
      <c r="H47" s="72" t="s">
        <v>80</v>
      </c>
      <c r="I47" s="39"/>
      <c r="J47" s="37"/>
      <c r="K47" s="39"/>
      <c r="L47" s="37"/>
      <c r="M47" s="53"/>
      <c r="N47" s="50"/>
      <c r="O47" s="71" t="str">
        <f t="shared" si="26"/>
        <v>Nil</v>
      </c>
      <c r="P47" s="71" t="s">
        <v>76</v>
      </c>
      <c r="Q47" s="71" t="str">
        <f t="shared" si="27"/>
        <v>Nil</v>
      </c>
      <c r="R47" s="71" t="s">
        <v>76</v>
      </c>
      <c r="S47" s="66"/>
    </row>
    <row r="48" spans="2:19" ht="30">
      <c r="B48" s="85" t="s">
        <v>76</v>
      </c>
      <c r="C48" s="71" t="s">
        <v>76</v>
      </c>
      <c r="D48" s="85" t="s">
        <v>76</v>
      </c>
      <c r="E48" s="71" t="s">
        <v>76</v>
      </c>
      <c r="F48" s="50"/>
      <c r="G48" s="11"/>
      <c r="H48" s="72" t="s">
        <v>79</v>
      </c>
      <c r="I48" s="39"/>
      <c r="J48" s="37"/>
      <c r="K48" s="39"/>
      <c r="L48" s="37"/>
      <c r="M48" s="53"/>
      <c r="N48" s="50"/>
      <c r="O48" s="71" t="str">
        <f t="shared" si="26"/>
        <v>Nil</v>
      </c>
      <c r="P48" s="71" t="s">
        <v>76</v>
      </c>
      <c r="Q48" s="71" t="str">
        <f t="shared" si="27"/>
        <v>Nil</v>
      </c>
      <c r="R48" s="71" t="s">
        <v>76</v>
      </c>
      <c r="S48" s="66"/>
    </row>
    <row r="49" spans="1:28" ht="15">
      <c r="B49" s="86">
        <f>17739968</f>
        <v>17739968</v>
      </c>
      <c r="C49" s="75">
        <v>27671953</v>
      </c>
      <c r="D49" s="86">
        <f>17739968</f>
        <v>17739968</v>
      </c>
      <c r="E49" s="76">
        <v>27526945</v>
      </c>
      <c r="F49" s="50"/>
      <c r="G49" s="11"/>
      <c r="H49" s="11" t="s">
        <v>82</v>
      </c>
      <c r="I49" s="39"/>
      <c r="J49" s="37"/>
      <c r="K49" s="39"/>
      <c r="L49" s="37"/>
      <c r="M49" s="53"/>
      <c r="N49" s="50"/>
      <c r="O49" s="75">
        <f t="shared" si="26"/>
        <v>17739968</v>
      </c>
      <c r="P49" s="75">
        <f>27671953</f>
        <v>27671953</v>
      </c>
      <c r="Q49" s="74">
        <f t="shared" si="27"/>
        <v>17739968</v>
      </c>
      <c r="R49" s="76">
        <v>27526945</v>
      </c>
      <c r="S49" s="66"/>
    </row>
    <row r="50" spans="1:28" ht="30">
      <c r="B50" s="87">
        <v>1</v>
      </c>
      <c r="C50" s="73">
        <v>1</v>
      </c>
      <c r="D50" s="87">
        <v>1</v>
      </c>
      <c r="E50" s="73">
        <v>1</v>
      </c>
      <c r="F50" s="50"/>
      <c r="G50" s="11"/>
      <c r="H50" s="72" t="s">
        <v>77</v>
      </c>
      <c r="I50" s="39"/>
      <c r="J50" s="37"/>
      <c r="K50" s="39"/>
      <c r="L50" s="37"/>
      <c r="M50" s="53"/>
      <c r="N50" s="50"/>
      <c r="O50" s="73">
        <f t="shared" si="26"/>
        <v>1</v>
      </c>
      <c r="P50" s="73">
        <v>1</v>
      </c>
      <c r="Q50" s="73">
        <f t="shared" si="27"/>
        <v>1</v>
      </c>
      <c r="R50" s="73">
        <v>1</v>
      </c>
      <c r="S50" s="66"/>
    </row>
    <row r="51" spans="1:28" ht="30">
      <c r="B51" s="88">
        <v>0.2147</v>
      </c>
      <c r="C51" s="50">
        <v>0.33489999999999998</v>
      </c>
      <c r="D51" s="88">
        <v>0.2147</v>
      </c>
      <c r="E51" s="50">
        <v>0.3332</v>
      </c>
      <c r="F51" s="50"/>
      <c r="G51" s="11"/>
      <c r="H51" s="72" t="s">
        <v>78</v>
      </c>
      <c r="I51" s="39"/>
      <c r="J51" s="37"/>
      <c r="K51" s="39"/>
      <c r="L51" s="37"/>
      <c r="M51" s="53"/>
      <c r="N51" s="50"/>
      <c r="O51" s="50">
        <f t="shared" si="26"/>
        <v>0.2147</v>
      </c>
      <c r="P51" s="50">
        <f>33.49%</f>
        <v>0.33490000000000003</v>
      </c>
      <c r="Q51" s="50">
        <f t="shared" si="27"/>
        <v>0.2147</v>
      </c>
      <c r="R51" s="50">
        <v>0.3332</v>
      </c>
      <c r="S51" s="66"/>
    </row>
    <row r="52" spans="1:28" ht="15">
      <c r="B52" s="66"/>
      <c r="C52" s="66"/>
      <c r="D52" s="66"/>
      <c r="E52" s="66"/>
      <c r="F52" s="66"/>
      <c r="G52" s="67"/>
      <c r="H52" s="80"/>
      <c r="I52" s="64"/>
      <c r="J52" s="68"/>
      <c r="K52" s="64"/>
      <c r="L52" s="68"/>
      <c r="M52" s="65"/>
      <c r="N52" s="66"/>
      <c r="O52" s="66"/>
      <c r="P52" s="66"/>
      <c r="Q52" s="66"/>
      <c r="R52" s="66"/>
      <c r="S52" s="66"/>
    </row>
    <row r="53" spans="1:28" ht="10.5" customHeight="1">
      <c r="A53" s="23" t="s">
        <v>45</v>
      </c>
      <c r="B53" s="26"/>
      <c r="C53" s="26"/>
      <c r="D53" s="26"/>
      <c r="E53" s="26"/>
      <c r="F53" s="26"/>
      <c r="G53" s="25"/>
      <c r="H53" s="22"/>
      <c r="I53" s="22"/>
    </row>
    <row r="54" spans="1:28" ht="24" customHeight="1">
      <c r="A54" s="42" t="s">
        <v>64</v>
      </c>
      <c r="B54" s="203" t="s">
        <v>202</v>
      </c>
      <c r="C54" s="203"/>
      <c r="D54" s="203"/>
      <c r="E54" s="203"/>
      <c r="F54" s="203"/>
      <c r="G54" s="203"/>
      <c r="H54" s="203"/>
      <c r="I54" s="203"/>
      <c r="J54" s="203"/>
      <c r="K54" s="203"/>
      <c r="L54" s="203"/>
      <c r="M54" s="203"/>
      <c r="N54" s="203"/>
      <c r="O54" s="203"/>
      <c r="P54" s="203"/>
      <c r="Q54" s="203"/>
      <c r="R54" s="55"/>
      <c r="S54" s="55"/>
    </row>
    <row r="55" spans="1:28" ht="7.5" customHeight="1">
      <c r="A55" s="27"/>
      <c r="B55" s="92"/>
      <c r="C55" s="92"/>
      <c r="D55" s="92"/>
      <c r="E55" s="92"/>
      <c r="F55" s="92"/>
      <c r="G55" s="92"/>
      <c r="H55" s="92"/>
      <c r="I55" s="92"/>
      <c r="J55" s="92"/>
      <c r="K55" s="92"/>
      <c r="L55" s="92"/>
      <c r="M55" s="92"/>
      <c r="N55" s="92"/>
      <c r="O55" s="92"/>
      <c r="P55" s="92"/>
      <c r="Q55" s="92"/>
      <c r="R55" s="55"/>
      <c r="S55" s="55"/>
    </row>
    <row r="56" spans="1:28" ht="24" customHeight="1">
      <c r="A56" s="42" t="s">
        <v>65</v>
      </c>
      <c r="B56" s="203" t="s">
        <v>144</v>
      </c>
      <c r="C56" s="203"/>
      <c r="D56" s="203"/>
      <c r="E56" s="203"/>
      <c r="F56" s="203"/>
      <c r="G56" s="203"/>
      <c r="H56" s="203"/>
      <c r="I56" s="203"/>
      <c r="J56" s="203"/>
      <c r="K56" s="203"/>
      <c r="L56" s="203"/>
      <c r="M56" s="203"/>
      <c r="N56" s="203"/>
      <c r="O56" s="203"/>
      <c r="P56" s="203"/>
      <c r="Q56" s="203"/>
      <c r="R56" s="63"/>
      <c r="S56" s="63"/>
    </row>
    <row r="57" spans="1:28" ht="7.5" customHeight="1">
      <c r="A57" s="27"/>
      <c r="B57" s="40"/>
      <c r="C57" s="40"/>
      <c r="D57" s="40"/>
      <c r="E57" s="40"/>
      <c r="F57" s="40"/>
      <c r="G57" s="40"/>
      <c r="H57" s="40"/>
      <c r="I57" s="40"/>
      <c r="J57" s="40"/>
      <c r="K57" s="40"/>
      <c r="L57" s="40"/>
      <c r="M57" s="40"/>
      <c r="N57" s="40"/>
      <c r="O57" s="40"/>
      <c r="P57" s="40"/>
      <c r="Q57" s="40"/>
      <c r="R57" s="40"/>
      <c r="S57" s="40"/>
    </row>
    <row r="58" spans="1:28" ht="15" customHeight="1">
      <c r="A58" s="44" t="s">
        <v>66</v>
      </c>
      <c r="B58" s="203" t="s">
        <v>46</v>
      </c>
      <c r="C58" s="203"/>
      <c r="D58" s="203"/>
      <c r="E58" s="203"/>
      <c r="F58" s="203"/>
      <c r="G58" s="203"/>
      <c r="H58" s="203"/>
      <c r="I58" s="203"/>
      <c r="J58" s="203"/>
      <c r="K58" s="203"/>
      <c r="L58" s="203"/>
      <c r="M58" s="203"/>
      <c r="N58" s="203"/>
      <c r="O58" s="203"/>
      <c r="P58" s="203"/>
      <c r="Q58" s="203"/>
      <c r="R58" s="62"/>
      <c r="S58" s="62"/>
      <c r="Y58" s="21"/>
      <c r="Z58" s="21"/>
      <c r="AA58" s="21"/>
      <c r="AB58" s="21"/>
    </row>
    <row r="59" spans="1:28" ht="7.5" customHeight="1">
      <c r="A59" s="43"/>
      <c r="B59" s="24"/>
      <c r="C59" s="24"/>
      <c r="D59" s="24"/>
      <c r="E59" s="24"/>
      <c r="F59" s="24"/>
      <c r="G59" s="24"/>
      <c r="H59" s="24"/>
      <c r="I59" s="24"/>
      <c r="J59" s="24"/>
      <c r="K59" s="24"/>
      <c r="L59" s="24"/>
      <c r="M59" s="24"/>
      <c r="N59" s="24"/>
      <c r="O59" s="24"/>
      <c r="P59" s="24"/>
      <c r="Q59" s="24"/>
      <c r="R59" s="41"/>
      <c r="S59" s="41"/>
      <c r="Y59" s="21"/>
      <c r="Z59" s="21"/>
      <c r="AA59" s="21"/>
      <c r="AB59" s="21"/>
    </row>
    <row r="60" spans="1:28" ht="13.5" customHeight="1">
      <c r="A60" s="44" t="s">
        <v>67</v>
      </c>
      <c r="B60" s="203" t="s">
        <v>47</v>
      </c>
      <c r="C60" s="203"/>
      <c r="D60" s="203"/>
      <c r="E60" s="203"/>
      <c r="F60" s="203"/>
      <c r="G60" s="203"/>
      <c r="H60" s="203"/>
      <c r="I60" s="203"/>
      <c r="J60" s="203"/>
      <c r="K60" s="203"/>
      <c r="L60" s="203"/>
      <c r="M60" s="203"/>
      <c r="N60" s="203"/>
      <c r="O60" s="203"/>
      <c r="P60" s="203"/>
      <c r="Q60" s="203"/>
      <c r="R60" s="62"/>
      <c r="S60" s="62"/>
      <c r="Y60" s="21"/>
      <c r="Z60" s="21"/>
      <c r="AA60" s="21"/>
      <c r="AB60" s="21"/>
    </row>
    <row r="61" spans="1:28" ht="7.5" customHeight="1">
      <c r="A61" s="43"/>
      <c r="B61" s="24"/>
      <c r="C61" s="24"/>
      <c r="D61" s="24"/>
      <c r="E61" s="24"/>
      <c r="F61" s="24"/>
      <c r="G61" s="24"/>
      <c r="H61" s="24"/>
      <c r="I61" s="24"/>
      <c r="J61" s="24"/>
      <c r="K61" s="24"/>
      <c r="L61" s="24"/>
      <c r="M61" s="24"/>
      <c r="N61" s="24"/>
      <c r="O61" s="24"/>
      <c r="P61" s="24"/>
      <c r="Q61" s="24"/>
      <c r="R61" s="41"/>
      <c r="S61" s="41"/>
      <c r="Y61" s="21"/>
      <c r="Z61" s="21"/>
      <c r="AA61" s="21"/>
      <c r="AB61" s="21"/>
    </row>
    <row r="62" spans="1:28" ht="12.75" customHeight="1">
      <c r="A62" s="44" t="s">
        <v>68</v>
      </c>
      <c r="B62" s="203" t="s">
        <v>55</v>
      </c>
      <c r="C62" s="203"/>
      <c r="D62" s="203"/>
      <c r="E62" s="203"/>
      <c r="F62" s="203"/>
      <c r="G62" s="203"/>
      <c r="H62" s="203"/>
      <c r="I62" s="203"/>
      <c r="J62" s="203"/>
      <c r="K62" s="203"/>
      <c r="L62" s="203"/>
      <c r="M62" s="203"/>
      <c r="N62" s="203"/>
      <c r="O62" s="203"/>
      <c r="P62" s="203"/>
      <c r="Q62" s="203"/>
      <c r="R62" s="62"/>
      <c r="S62" s="62"/>
      <c r="Y62" s="21"/>
      <c r="Z62" s="21"/>
      <c r="AA62" s="21"/>
      <c r="AB62" s="21"/>
    </row>
    <row r="63" spans="1:28" ht="15">
      <c r="A63" s="77"/>
      <c r="B63" s="19"/>
      <c r="F63" s="30" t="s">
        <v>56</v>
      </c>
      <c r="O63" s="30" t="s">
        <v>56</v>
      </c>
      <c r="R63"/>
      <c r="W63" s="56"/>
      <c r="X63" s="21"/>
    </row>
    <row r="64" spans="1:28" s="6" customFormat="1" ht="13.5" customHeight="1">
      <c r="A64" s="42"/>
      <c r="B64" s="24"/>
      <c r="C64" s="24"/>
      <c r="D64" s="24"/>
      <c r="E64" s="24"/>
      <c r="F64" s="24"/>
      <c r="G64" s="24"/>
      <c r="H64" s="24"/>
      <c r="I64" s="24"/>
      <c r="J64" s="24"/>
      <c r="K64" s="24"/>
      <c r="L64" s="24"/>
      <c r="M64" s="16"/>
      <c r="N64" s="16"/>
      <c r="O64" s="24"/>
      <c r="P64" s="19"/>
      <c r="Q64" s="24"/>
      <c r="R64"/>
    </row>
    <row r="65" spans="1:18" s="6" customFormat="1" ht="13.5" customHeight="1">
      <c r="A65" s="42"/>
      <c r="B65" s="24"/>
      <c r="C65" s="24"/>
      <c r="D65" s="24"/>
      <c r="E65" s="24"/>
      <c r="F65" s="24"/>
      <c r="G65" s="24"/>
      <c r="H65" s="24"/>
      <c r="I65" s="24"/>
      <c r="J65" s="24"/>
      <c r="K65" s="24"/>
      <c r="L65" s="24"/>
      <c r="M65" s="16"/>
      <c r="N65" s="16"/>
      <c r="O65" s="19"/>
      <c r="P65" s="19"/>
      <c r="Q65" s="93"/>
      <c r="R65"/>
    </row>
    <row r="66" spans="1:18" s="6" customFormat="1" ht="15">
      <c r="A66" s="19"/>
      <c r="B66" s="24"/>
      <c r="C66" s="24"/>
      <c r="D66" s="24"/>
      <c r="E66" s="24"/>
      <c r="F66" s="24"/>
      <c r="G66" s="24"/>
      <c r="H66" s="24"/>
      <c r="I66" s="24"/>
      <c r="J66" s="24"/>
      <c r="K66" s="24"/>
      <c r="L66" s="24"/>
      <c r="O66" s="19"/>
      <c r="P66" s="19"/>
      <c r="Q66" s="93"/>
      <c r="R66"/>
    </row>
    <row r="67" spans="1:18" s="6" customFormat="1" ht="15.75">
      <c r="A67" s="19"/>
      <c r="B67" s="19"/>
      <c r="C67" s="20"/>
      <c r="D67" s="28"/>
      <c r="E67" s="28"/>
      <c r="F67" s="28"/>
      <c r="G67" s="28"/>
      <c r="H67" s="19"/>
      <c r="I67" s="28"/>
      <c r="O67" s="90" t="s">
        <v>104</v>
      </c>
      <c r="P67" s="19"/>
      <c r="Q67" s="91"/>
      <c r="R67"/>
    </row>
    <row r="68" spans="1:18" s="6" customFormat="1" ht="15">
      <c r="A68" s="29"/>
      <c r="B68" s="29" t="s">
        <v>143</v>
      </c>
      <c r="C68" s="20"/>
      <c r="D68" s="29"/>
      <c r="E68" s="29"/>
      <c r="F68" s="29" t="s">
        <v>86</v>
      </c>
      <c r="H68" s="19"/>
      <c r="O68" s="90" t="s">
        <v>105</v>
      </c>
      <c r="P68" s="19"/>
      <c r="Q68" s="91"/>
      <c r="R68"/>
    </row>
    <row r="69" spans="1:18" s="6" customFormat="1" ht="15">
      <c r="A69" s="29"/>
      <c r="B69" s="29" t="s">
        <v>70</v>
      </c>
      <c r="C69" s="20"/>
      <c r="D69" s="29"/>
      <c r="E69" s="29"/>
      <c r="F69" s="29" t="s">
        <v>87</v>
      </c>
      <c r="H69" s="19"/>
      <c r="O69" s="29"/>
      <c r="Q69" s="19"/>
    </row>
    <row r="77" spans="1:18">
      <c r="H77" s="24"/>
    </row>
    <row r="78" spans="1:18">
      <c r="H78" s="24"/>
    </row>
  </sheetData>
  <mergeCells count="19">
    <mergeCell ref="B54:Q54"/>
    <mergeCell ref="B56:Q56"/>
    <mergeCell ref="B58:Q58"/>
    <mergeCell ref="B60:Q60"/>
    <mergeCell ref="B62:Q62"/>
    <mergeCell ref="I6:J6"/>
    <mergeCell ref="H5:H8"/>
    <mergeCell ref="K6:L6"/>
    <mergeCell ref="A1:S2"/>
    <mergeCell ref="I5:S5"/>
    <mergeCell ref="O6:P6"/>
    <mergeCell ref="M6:N6"/>
    <mergeCell ref="G5:G8"/>
    <mergeCell ref="B6:C6"/>
    <mergeCell ref="B3:S3"/>
    <mergeCell ref="R6:S6"/>
    <mergeCell ref="E6:F6"/>
    <mergeCell ref="H4:Q4"/>
    <mergeCell ref="B5:F5"/>
  </mergeCells>
  <phoneticPr fontId="9" type="noConversion"/>
  <printOptions verticalCentered="1"/>
  <pageMargins left="0.5" right="0" top="1.2" bottom="0" header="0.15748031496063" footer="0.31496062992126"/>
  <pageSetup paperSize="9" scale="67" orientation="portrait" r:id="rId1"/>
  <legacyDrawing r:id="rId2"/>
</worksheet>
</file>

<file path=xl/worksheets/sheet3.xml><?xml version="1.0" encoding="utf-8"?>
<worksheet xmlns="http://schemas.openxmlformats.org/spreadsheetml/2006/main" xmlns:r="http://schemas.openxmlformats.org/officeDocument/2006/relationships">
  <sheetPr>
    <pageSetUpPr fitToPage="1"/>
  </sheetPr>
  <dimension ref="B3:E51"/>
  <sheetViews>
    <sheetView tabSelected="1" zoomScale="70" zoomScaleNormal="70" workbookViewId="0">
      <pane xSplit="3" ySplit="10" topLeftCell="D20" activePane="bottomRight" state="frozen"/>
      <selection activeCell="C9" sqref="C9"/>
      <selection pane="topRight" activeCell="C9" sqref="C9"/>
      <selection pane="bottomLeft" activeCell="C9" sqref="C9"/>
      <selection pane="bottomRight" activeCell="H27" sqref="H27"/>
    </sheetView>
  </sheetViews>
  <sheetFormatPr defaultRowHeight="12.75"/>
  <cols>
    <col min="2" max="2" width="5.140625" customWidth="1"/>
    <col min="3" max="3" width="59.28515625" customWidth="1"/>
    <col min="4" max="4" width="21.42578125" bestFit="1" customWidth="1"/>
    <col min="5" max="5" width="19.42578125" customWidth="1"/>
  </cols>
  <sheetData>
    <row r="3" spans="2:5" ht="18">
      <c r="B3" s="206" t="s">
        <v>107</v>
      </c>
      <c r="C3" s="206"/>
      <c r="D3" s="206"/>
      <c r="E3" s="206"/>
    </row>
    <row r="4" spans="2:5" ht="18">
      <c r="B4" s="94"/>
      <c r="C4" s="94" t="s">
        <v>142</v>
      </c>
    </row>
    <row r="5" spans="2:5" ht="18" customHeight="1">
      <c r="B5" s="95"/>
      <c r="C5" s="95"/>
      <c r="D5" s="96"/>
      <c r="E5" s="135">
        <v>12.657500000000001</v>
      </c>
    </row>
    <row r="6" spans="2:5" ht="36" customHeight="1">
      <c r="B6" s="95"/>
      <c r="C6" s="98"/>
      <c r="D6" s="204" t="s">
        <v>139</v>
      </c>
      <c r="E6" s="205"/>
    </row>
    <row r="7" spans="2:5" s="102" customFormat="1" ht="15">
      <c r="B7" s="99" t="s">
        <v>108</v>
      </c>
      <c r="C7" s="99"/>
      <c r="D7" s="100" t="s">
        <v>109</v>
      </c>
      <c r="E7" s="101" t="s">
        <v>110</v>
      </c>
    </row>
    <row r="8" spans="2:5" s="102" customFormat="1" ht="15">
      <c r="B8" s="103" t="s">
        <v>111</v>
      </c>
      <c r="C8" s="104" t="s">
        <v>112</v>
      </c>
      <c r="D8" s="105" t="s">
        <v>113</v>
      </c>
      <c r="E8" s="106" t="s">
        <v>113</v>
      </c>
    </row>
    <row r="9" spans="2:5" s="102" customFormat="1" ht="15">
      <c r="B9" s="103"/>
      <c r="C9" s="103"/>
      <c r="D9" s="105" t="s">
        <v>140</v>
      </c>
      <c r="E9" s="106" t="s">
        <v>114</v>
      </c>
    </row>
    <row r="10" spans="2:5" s="102" customFormat="1" ht="15">
      <c r="B10" s="107"/>
      <c r="C10" s="107"/>
      <c r="D10" s="108" t="s">
        <v>141</v>
      </c>
      <c r="E10" s="109" t="s">
        <v>115</v>
      </c>
    </row>
    <row r="11" spans="2:5" ht="18">
      <c r="B11" s="110" t="s">
        <v>116</v>
      </c>
      <c r="C11" s="111"/>
      <c r="D11" s="112"/>
      <c r="E11" s="113"/>
    </row>
    <row r="12" spans="2:5" s="56" customFormat="1" ht="18">
      <c r="B12" s="110">
        <v>1</v>
      </c>
      <c r="C12" s="114" t="s">
        <v>117</v>
      </c>
      <c r="D12" s="115">
        <f>646307*33.71%</f>
        <v>217870.08970000001</v>
      </c>
      <c r="E12" s="115">
        <f>+D12*$E$5/100000</f>
        <v>27.576906603777502</v>
      </c>
    </row>
    <row r="13" spans="2:5" ht="18">
      <c r="B13" s="110"/>
      <c r="C13" s="114"/>
      <c r="D13" s="116"/>
      <c r="E13" s="117"/>
    </row>
    <row r="14" spans="2:5" s="56" customFormat="1" ht="18">
      <c r="B14" s="110">
        <f>+B12+1</f>
        <v>2</v>
      </c>
      <c r="C14" s="114" t="s">
        <v>11</v>
      </c>
      <c r="D14" s="115">
        <f>170079.91</f>
        <v>170079.91</v>
      </c>
      <c r="E14" s="115">
        <f>+D14*$E$5/100000</f>
        <v>21.527864608249999</v>
      </c>
    </row>
    <row r="15" spans="2:5" ht="18">
      <c r="B15" s="110"/>
      <c r="C15" s="114"/>
      <c r="D15" s="116"/>
      <c r="E15" s="117"/>
    </row>
    <row r="16" spans="2:5" s="122" customFormat="1" ht="18">
      <c r="B16" s="118">
        <f>+B14+1</f>
        <v>3</v>
      </c>
      <c r="C16" s="119" t="s">
        <v>118</v>
      </c>
      <c r="D16" s="136">
        <f>SUM(D12:D15)</f>
        <v>387949.99970000004</v>
      </c>
      <c r="E16" s="121">
        <f t="shared" ref="E16" si="0">SUM(E12:E14)</f>
        <v>49.104771212027501</v>
      </c>
    </row>
    <row r="17" spans="2:5" ht="18">
      <c r="B17" s="110"/>
      <c r="C17" s="114"/>
      <c r="D17" s="116"/>
      <c r="E17" s="117"/>
    </row>
    <row r="18" spans="2:5" s="126" customFormat="1" ht="36">
      <c r="B18" s="123"/>
      <c r="C18" s="127" t="s">
        <v>120</v>
      </c>
      <c r="D18" s="125">
        <f>349006*33.71%</f>
        <v>117649.92260000001</v>
      </c>
      <c r="E18" s="115">
        <f>D18*E5/100000</f>
        <v>14.891538953095001</v>
      </c>
    </row>
    <row r="19" spans="2:5" ht="18">
      <c r="B19" s="110"/>
      <c r="C19" s="127" t="s">
        <v>121</v>
      </c>
      <c r="D19" s="128">
        <v>0</v>
      </c>
      <c r="E19" s="115">
        <f>+D19*$E$5/100000</f>
        <v>0</v>
      </c>
    </row>
    <row r="20" spans="2:5" ht="18">
      <c r="B20" s="110"/>
      <c r="C20" s="127" t="s">
        <v>122</v>
      </c>
      <c r="D20" s="128">
        <v>422980</v>
      </c>
      <c r="E20" s="115">
        <f t="shared" ref="E20:E21" si="1">+D20*$E$5/100000</f>
        <v>53.538693500000008</v>
      </c>
    </row>
    <row r="21" spans="2:5" ht="18">
      <c r="B21" s="110"/>
      <c r="C21" s="127" t="s">
        <v>123</v>
      </c>
      <c r="D21" s="128">
        <v>15498</v>
      </c>
      <c r="E21" s="115">
        <f t="shared" si="1"/>
        <v>1.9616593499999999</v>
      </c>
    </row>
    <row r="22" spans="2:5" ht="18">
      <c r="B22" s="110"/>
      <c r="C22" s="124" t="s">
        <v>124</v>
      </c>
      <c r="D22" s="128">
        <f>35785</f>
        <v>35785</v>
      </c>
      <c r="E22" s="115">
        <f>+D22*$E$5/100000</f>
        <v>4.5294863750000003</v>
      </c>
    </row>
    <row r="23" spans="2:5" ht="18">
      <c r="B23" s="110"/>
      <c r="C23" s="124" t="s">
        <v>125</v>
      </c>
      <c r="D23" s="125">
        <f>14560.58</f>
        <v>14560.58</v>
      </c>
      <c r="E23" s="115">
        <f>+D23*$E$5/100000</f>
        <v>1.8430054135000002</v>
      </c>
    </row>
    <row r="24" spans="2:5" ht="18">
      <c r="B24" s="110"/>
      <c r="C24" s="124" t="s">
        <v>126</v>
      </c>
      <c r="D24" s="125">
        <f>168092.1+0.17</f>
        <v>168092.27000000002</v>
      </c>
      <c r="E24" s="115">
        <f>+D24*$E$5/100000</f>
        <v>21.276279075250002</v>
      </c>
    </row>
    <row r="25" spans="2:5" ht="18">
      <c r="B25" s="110"/>
      <c r="C25" s="114"/>
      <c r="D25" s="116"/>
      <c r="E25" s="129"/>
    </row>
    <row r="26" spans="2:5" ht="18">
      <c r="B26" s="110">
        <f>+B16+1</f>
        <v>4</v>
      </c>
      <c r="C26" s="114" t="s">
        <v>119</v>
      </c>
      <c r="D26" s="115">
        <f>SUM(D18:D24)</f>
        <v>774565.77260000003</v>
      </c>
      <c r="E26" s="115">
        <f>SUM(E18:E24)</f>
        <v>98.040662666845023</v>
      </c>
    </row>
    <row r="27" spans="2:5" ht="18">
      <c r="B27" s="110"/>
      <c r="C27" s="114"/>
      <c r="D27" s="116"/>
      <c r="E27" s="129"/>
    </row>
    <row r="28" spans="2:5" ht="18">
      <c r="B28" s="110"/>
      <c r="C28" s="114"/>
      <c r="D28" s="116"/>
      <c r="E28" s="129"/>
    </row>
    <row r="29" spans="2:5" ht="18">
      <c r="B29" s="110"/>
      <c r="C29" s="114"/>
      <c r="D29" s="116"/>
      <c r="E29" s="129"/>
    </row>
    <row r="30" spans="2:5" ht="18">
      <c r="B30" s="118">
        <f>+B26+1</f>
        <v>5</v>
      </c>
      <c r="C30" s="114" t="s">
        <v>19</v>
      </c>
      <c r="D30" s="115">
        <f>819.99</f>
        <v>819.99</v>
      </c>
      <c r="E30" s="115">
        <f>+D30*$E$5/100000</f>
        <v>0.10379023425000002</v>
      </c>
    </row>
    <row r="31" spans="2:5" ht="18">
      <c r="B31" s="110"/>
      <c r="C31" s="114"/>
      <c r="D31" s="116"/>
      <c r="E31" s="115"/>
    </row>
    <row r="32" spans="2:5" ht="18">
      <c r="B32" s="110">
        <f>B30+1</f>
        <v>6</v>
      </c>
      <c r="C32" s="114" t="s">
        <v>127</v>
      </c>
      <c r="D32" s="116">
        <v>0</v>
      </c>
      <c r="E32" s="115">
        <v>0</v>
      </c>
    </row>
    <row r="33" spans="2:5" ht="18">
      <c r="B33" s="110"/>
      <c r="C33" s="114"/>
      <c r="D33" s="116"/>
      <c r="E33" s="115"/>
    </row>
    <row r="34" spans="2:5" ht="18">
      <c r="B34" s="118">
        <f>+B32+1</f>
        <v>7</v>
      </c>
      <c r="C34" s="119" t="s">
        <v>128</v>
      </c>
      <c r="D34" s="121">
        <f>+D16-D26-D30-D32</f>
        <v>-387435.76289999997</v>
      </c>
      <c r="E34" s="121">
        <f>E16-E26-E30-E32</f>
        <v>-49.039681689067521</v>
      </c>
    </row>
    <row r="35" spans="2:5" ht="18">
      <c r="B35" s="118"/>
      <c r="C35" s="119"/>
      <c r="D35" s="120"/>
      <c r="E35" s="121"/>
    </row>
    <row r="36" spans="2:5" ht="18">
      <c r="B36" s="110">
        <f>+B34+1</f>
        <v>8</v>
      </c>
      <c r="C36" s="114" t="s">
        <v>129</v>
      </c>
      <c r="D36" s="116">
        <v>0</v>
      </c>
      <c r="E36" s="115">
        <v>0</v>
      </c>
    </row>
    <row r="37" spans="2:5" ht="18">
      <c r="B37" s="110"/>
      <c r="C37" s="114"/>
      <c r="D37" s="116"/>
      <c r="E37" s="117"/>
    </row>
    <row r="38" spans="2:5" ht="18">
      <c r="B38" s="118">
        <f>+B36+1</f>
        <v>9</v>
      </c>
      <c r="C38" s="119" t="s">
        <v>130</v>
      </c>
      <c r="D38" s="121">
        <f t="shared" ref="D38:E38" si="2">+D34-D36</f>
        <v>-387435.76289999997</v>
      </c>
      <c r="E38" s="121">
        <f t="shared" si="2"/>
        <v>-49.039681689067521</v>
      </c>
    </row>
    <row r="39" spans="2:5" ht="18">
      <c r="B39" s="118"/>
      <c r="C39" s="119"/>
      <c r="D39" s="120"/>
      <c r="E39" s="121"/>
    </row>
    <row r="40" spans="2:5" ht="36">
      <c r="B40" s="110">
        <f>+B38+1</f>
        <v>10</v>
      </c>
      <c r="C40" s="130" t="s">
        <v>131</v>
      </c>
      <c r="D40" s="116"/>
      <c r="E40" s="97"/>
    </row>
    <row r="41" spans="2:5" ht="18">
      <c r="B41" s="110"/>
      <c r="C41" s="114"/>
      <c r="D41" s="116"/>
      <c r="E41" s="97"/>
    </row>
    <row r="42" spans="2:5" ht="18">
      <c r="B42" s="110">
        <f>+B40+1</f>
        <v>11</v>
      </c>
      <c r="C42" s="114" t="s">
        <v>132</v>
      </c>
      <c r="D42" s="116"/>
      <c r="E42" s="97"/>
    </row>
    <row r="43" spans="2:5" ht="18">
      <c r="B43" s="110"/>
      <c r="C43" s="114"/>
      <c r="D43" s="116"/>
      <c r="E43" s="97"/>
    </row>
    <row r="44" spans="2:5" ht="18">
      <c r="B44" s="110">
        <f>+B42+1</f>
        <v>12</v>
      </c>
      <c r="C44" s="114" t="s">
        <v>133</v>
      </c>
      <c r="D44" s="116"/>
      <c r="E44" s="97"/>
    </row>
    <row r="45" spans="2:5" ht="18">
      <c r="B45" s="118"/>
      <c r="C45" s="119"/>
      <c r="D45" s="116"/>
      <c r="E45" s="97"/>
    </row>
    <row r="46" spans="2:5" ht="18">
      <c r="B46" s="110">
        <f>+B44+1</f>
        <v>13</v>
      </c>
      <c r="C46" s="131" t="s">
        <v>134</v>
      </c>
      <c r="D46" s="116"/>
      <c r="E46" s="97"/>
    </row>
    <row r="47" spans="2:5" ht="18">
      <c r="B47" s="132"/>
      <c r="C47" s="133" t="s">
        <v>135</v>
      </c>
      <c r="D47" s="116"/>
      <c r="E47" s="97"/>
    </row>
    <row r="48" spans="2:5" ht="18">
      <c r="B48" s="131"/>
      <c r="C48" s="133" t="s">
        <v>136</v>
      </c>
      <c r="D48" s="116"/>
      <c r="E48" s="97"/>
    </row>
    <row r="50" spans="3:3" ht="15.75" hidden="1">
      <c r="C50" s="134" t="s">
        <v>137</v>
      </c>
    </row>
    <row r="51" spans="3:3" ht="15.75" hidden="1">
      <c r="C51" s="134" t="s">
        <v>138</v>
      </c>
    </row>
  </sheetData>
  <mergeCells count="2">
    <mergeCell ref="D6:E6"/>
    <mergeCell ref="B3:E3"/>
  </mergeCells>
  <pageMargins left="1" right="0" top="0.196850393700787" bottom="0.196850393700787" header="0.511811023622047" footer="0.511811023622047"/>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F36"/>
  <sheetViews>
    <sheetView workbookViewId="0">
      <selection activeCell="A2" sqref="A2"/>
    </sheetView>
  </sheetViews>
  <sheetFormatPr defaultRowHeight="15"/>
  <cols>
    <col min="1" max="1" width="31" style="137" bestFit="1" customWidth="1"/>
    <col min="2" max="3" width="10" style="137" bestFit="1" customWidth="1"/>
    <col min="4" max="4" width="28.42578125" style="137" bestFit="1" customWidth="1"/>
    <col min="5" max="5" width="11.5703125" style="137" bestFit="1" customWidth="1"/>
    <col min="6" max="6" width="10" style="137" bestFit="1" customWidth="1"/>
    <col min="7" max="16384" width="9.140625" style="137"/>
  </cols>
  <sheetData>
    <row r="1" spans="1:6" ht="27.75" customHeight="1">
      <c r="A1" s="169"/>
      <c r="B1" s="207" t="s">
        <v>201</v>
      </c>
      <c r="C1" s="208"/>
      <c r="D1" s="168"/>
      <c r="E1" s="207" t="s">
        <v>201</v>
      </c>
      <c r="F1" s="207"/>
    </row>
    <row r="2" spans="1:6">
      <c r="A2" s="167" t="s">
        <v>0</v>
      </c>
      <c r="B2" s="209" t="s">
        <v>200</v>
      </c>
      <c r="C2" s="210"/>
      <c r="D2" s="166" t="s">
        <v>0</v>
      </c>
      <c r="E2" s="209" t="s">
        <v>200</v>
      </c>
      <c r="F2" s="209"/>
    </row>
    <row r="3" spans="1:6">
      <c r="A3" s="157" t="s">
        <v>199</v>
      </c>
      <c r="B3" s="165"/>
      <c r="C3" s="164">
        <v>117650</v>
      </c>
      <c r="D3" s="163" t="s">
        <v>198</v>
      </c>
      <c r="E3" s="151"/>
      <c r="F3" s="158">
        <v>217870</v>
      </c>
    </row>
    <row r="4" spans="1:6">
      <c r="A4" s="147" t="s">
        <v>197</v>
      </c>
      <c r="B4" s="146"/>
      <c r="C4" s="145"/>
      <c r="D4" s="149" t="s">
        <v>196</v>
      </c>
      <c r="E4" s="151"/>
      <c r="F4" s="153"/>
    </row>
    <row r="5" spans="1:6">
      <c r="A5" s="147" t="s">
        <v>195</v>
      </c>
      <c r="B5" s="146"/>
      <c r="C5" s="145"/>
      <c r="D5" s="149" t="s">
        <v>194</v>
      </c>
      <c r="E5" s="155">
        <v>708069</v>
      </c>
      <c r="F5" s="153"/>
    </row>
    <row r="6" spans="1:6">
      <c r="A6" s="147" t="s">
        <v>193</v>
      </c>
      <c r="B6" s="148">
        <v>117650</v>
      </c>
      <c r="C6" s="145"/>
      <c r="D6" s="149" t="s">
        <v>192</v>
      </c>
      <c r="E6" s="155">
        <v>-1457320</v>
      </c>
      <c r="F6" s="153"/>
    </row>
    <row r="7" spans="1:6">
      <c r="A7" s="147" t="s">
        <v>191</v>
      </c>
      <c r="B7" s="146"/>
      <c r="C7" s="145"/>
      <c r="D7" s="149" t="s">
        <v>190</v>
      </c>
      <c r="E7" s="151"/>
      <c r="F7" s="153"/>
    </row>
    <row r="8" spans="1:6">
      <c r="A8" s="147" t="s">
        <v>189</v>
      </c>
      <c r="B8" s="146"/>
      <c r="C8" s="145"/>
      <c r="D8" s="149" t="s">
        <v>188</v>
      </c>
      <c r="E8" s="155">
        <v>-5000</v>
      </c>
      <c r="F8" s="153"/>
    </row>
    <row r="9" spans="1:6">
      <c r="A9" s="147" t="s">
        <v>187</v>
      </c>
      <c r="B9" s="162"/>
      <c r="C9" s="145"/>
      <c r="D9" s="149" t="s">
        <v>186</v>
      </c>
      <c r="E9" s="151"/>
      <c r="F9" s="153"/>
    </row>
    <row r="10" spans="1:6">
      <c r="A10" s="157" t="s">
        <v>185</v>
      </c>
      <c r="B10" s="146"/>
      <c r="C10" s="145"/>
      <c r="D10" s="147" t="s">
        <v>184</v>
      </c>
      <c r="E10" s="155">
        <v>972121</v>
      </c>
      <c r="F10" s="153"/>
    </row>
    <row r="11" spans="1:6">
      <c r="A11" s="147" t="s">
        <v>183</v>
      </c>
      <c r="B11" s="146"/>
      <c r="C11" s="145"/>
      <c r="D11" s="147" t="s">
        <v>182</v>
      </c>
      <c r="E11" s="162"/>
      <c r="F11" s="153"/>
    </row>
    <row r="12" spans="1:6">
      <c r="A12" s="147" t="s">
        <v>181</v>
      </c>
      <c r="B12" s="146"/>
      <c r="C12" s="145"/>
      <c r="D12" s="159" t="s">
        <v>180</v>
      </c>
      <c r="E12" s="151"/>
      <c r="F12" s="153"/>
    </row>
    <row r="13" spans="1:6">
      <c r="A13" s="147" t="s">
        <v>179</v>
      </c>
      <c r="B13" s="146"/>
      <c r="C13" s="145"/>
      <c r="D13" s="147" t="s">
        <v>178</v>
      </c>
      <c r="E13" s="151"/>
      <c r="F13" s="153"/>
    </row>
    <row r="14" spans="1:6">
      <c r="A14" s="147" t="s">
        <v>177</v>
      </c>
      <c r="B14" s="146"/>
      <c r="C14" s="145"/>
      <c r="D14" s="147" t="s">
        <v>176</v>
      </c>
      <c r="E14" s="162"/>
      <c r="F14" s="153"/>
    </row>
    <row r="15" spans="1:6">
      <c r="A15" s="147" t="s">
        <v>175</v>
      </c>
      <c r="B15" s="162"/>
      <c r="C15" s="145"/>
      <c r="D15" s="151"/>
      <c r="E15" s="138">
        <v>217870</v>
      </c>
      <c r="F15" s="144"/>
    </row>
    <row r="16" spans="1:6">
      <c r="A16" s="161" t="s">
        <v>174</v>
      </c>
      <c r="B16" s="146"/>
      <c r="C16" s="160">
        <v>100220</v>
      </c>
      <c r="D16" s="152" t="s">
        <v>173</v>
      </c>
      <c r="E16" s="151"/>
      <c r="F16" s="150">
        <v>100220</v>
      </c>
    </row>
    <row r="17" spans="1:6">
      <c r="A17" s="151"/>
      <c r="B17" s="138">
        <v>217870</v>
      </c>
      <c r="C17" s="144"/>
      <c r="D17" s="159" t="s">
        <v>172</v>
      </c>
      <c r="E17" s="151"/>
      <c r="F17" s="158">
        <v>170079.91</v>
      </c>
    </row>
    <row r="18" spans="1:6">
      <c r="A18" s="157" t="s">
        <v>171</v>
      </c>
      <c r="B18" s="146"/>
      <c r="C18" s="156">
        <v>657735.67000000004</v>
      </c>
      <c r="D18" s="147" t="s">
        <v>170</v>
      </c>
      <c r="E18" s="155">
        <v>131161.91</v>
      </c>
      <c r="F18" s="153"/>
    </row>
    <row r="19" spans="1:6">
      <c r="A19" s="149" t="s">
        <v>169</v>
      </c>
      <c r="B19" s="146"/>
      <c r="C19" s="145"/>
      <c r="D19" s="147" t="s">
        <v>168</v>
      </c>
      <c r="E19" s="151"/>
      <c r="F19" s="153"/>
    </row>
    <row r="20" spans="1:6">
      <c r="A20" s="149" t="s">
        <v>167</v>
      </c>
      <c r="B20" s="148">
        <v>35785</v>
      </c>
      <c r="C20" s="145"/>
      <c r="D20" s="147" t="s">
        <v>166</v>
      </c>
      <c r="E20" s="151"/>
      <c r="F20" s="153"/>
    </row>
    <row r="21" spans="1:6">
      <c r="A21" s="149" t="s">
        <v>165</v>
      </c>
      <c r="B21" s="148">
        <v>15709</v>
      </c>
      <c r="C21" s="145"/>
      <c r="D21" s="147" t="s">
        <v>19</v>
      </c>
      <c r="E21" s="151"/>
      <c r="F21" s="153"/>
    </row>
    <row r="22" spans="1:6">
      <c r="A22" s="149" t="s">
        <v>164</v>
      </c>
      <c r="B22" s="148">
        <v>15498</v>
      </c>
      <c r="C22" s="145"/>
      <c r="D22" s="147" t="s">
        <v>163</v>
      </c>
      <c r="E22" s="151"/>
      <c r="F22" s="153"/>
    </row>
    <row r="23" spans="1:6">
      <c r="A23" s="149" t="s">
        <v>162</v>
      </c>
      <c r="B23" s="148">
        <v>24663.22</v>
      </c>
      <c r="C23" s="145"/>
      <c r="D23" s="147" t="s">
        <v>161</v>
      </c>
      <c r="E23" s="151"/>
      <c r="F23" s="153"/>
    </row>
    <row r="24" spans="1:6">
      <c r="A24" s="149" t="s">
        <v>160</v>
      </c>
      <c r="B24" s="148">
        <v>11050</v>
      </c>
      <c r="C24" s="145"/>
      <c r="D24" s="147" t="s">
        <v>11</v>
      </c>
      <c r="E24" s="155">
        <v>32918</v>
      </c>
      <c r="F24" s="153"/>
    </row>
    <row r="25" spans="1:6">
      <c r="A25" s="149" t="s">
        <v>159</v>
      </c>
      <c r="B25" s="148">
        <v>1140</v>
      </c>
      <c r="C25" s="145"/>
      <c r="D25" s="147" t="s">
        <v>158</v>
      </c>
      <c r="E25" s="151"/>
      <c r="F25" s="153"/>
    </row>
    <row r="26" spans="1:6">
      <c r="A26" s="149" t="s">
        <v>157</v>
      </c>
      <c r="B26" s="148">
        <v>10650</v>
      </c>
      <c r="C26" s="145"/>
      <c r="D26" s="147" t="s">
        <v>156</v>
      </c>
      <c r="E26" s="154">
        <v>6000</v>
      </c>
      <c r="F26" s="153"/>
    </row>
    <row r="27" spans="1:6">
      <c r="A27" s="149" t="s">
        <v>19</v>
      </c>
      <c r="B27" s="148">
        <v>819.99</v>
      </c>
      <c r="C27" s="145"/>
      <c r="D27" s="152" t="s">
        <v>155</v>
      </c>
      <c r="E27" s="151"/>
      <c r="F27" s="150">
        <v>387435.76</v>
      </c>
    </row>
    <row r="28" spans="1:6">
      <c r="A28" s="149" t="s">
        <v>154</v>
      </c>
      <c r="B28" s="148">
        <v>48734</v>
      </c>
      <c r="C28" s="145"/>
      <c r="D28" s="144"/>
      <c r="E28" s="144"/>
      <c r="F28" s="144"/>
    </row>
    <row r="29" spans="1:6">
      <c r="A29" s="149" t="s">
        <v>153</v>
      </c>
      <c r="B29" s="148">
        <v>422980</v>
      </c>
      <c r="C29" s="145"/>
      <c r="D29" s="144"/>
      <c r="E29" s="144"/>
      <c r="F29" s="144"/>
    </row>
    <row r="30" spans="1:6">
      <c r="A30" s="149" t="s">
        <v>152</v>
      </c>
      <c r="B30" s="148">
        <v>40333.33</v>
      </c>
      <c r="C30" s="145"/>
      <c r="D30" s="144"/>
      <c r="E30" s="144"/>
      <c r="F30" s="144"/>
    </row>
    <row r="31" spans="1:6">
      <c r="A31" s="149" t="s">
        <v>151</v>
      </c>
      <c r="B31" s="148">
        <v>809.35</v>
      </c>
      <c r="C31" s="145"/>
      <c r="D31" s="144"/>
      <c r="E31" s="144"/>
      <c r="F31" s="144"/>
    </row>
    <row r="32" spans="1:6">
      <c r="A32" s="149" t="s">
        <v>150</v>
      </c>
      <c r="B32" s="148">
        <v>15003.2</v>
      </c>
      <c r="C32" s="145"/>
      <c r="D32" s="144"/>
      <c r="E32" s="144"/>
      <c r="F32" s="144"/>
    </row>
    <row r="33" spans="1:6">
      <c r="A33" s="147" t="s">
        <v>149</v>
      </c>
      <c r="B33" s="148">
        <v>14560.58</v>
      </c>
      <c r="C33" s="145"/>
      <c r="D33" s="144"/>
      <c r="E33" s="144"/>
      <c r="F33" s="144"/>
    </row>
    <row r="34" spans="1:6">
      <c r="A34" s="147" t="s">
        <v>148</v>
      </c>
      <c r="B34" s="146"/>
      <c r="C34" s="145"/>
      <c r="D34" s="144"/>
      <c r="E34" s="144"/>
      <c r="F34" s="144"/>
    </row>
    <row r="35" spans="1:6">
      <c r="A35" s="147" t="s">
        <v>147</v>
      </c>
      <c r="B35" s="146"/>
      <c r="C35" s="145"/>
      <c r="D35" s="144"/>
      <c r="E35" s="144"/>
      <c r="F35" s="144"/>
    </row>
    <row r="36" spans="1:6">
      <c r="A36" s="143" t="s">
        <v>146</v>
      </c>
      <c r="B36" s="142"/>
      <c r="C36" s="141">
        <v>657735.67000000004</v>
      </c>
      <c r="D36" s="140" t="s">
        <v>146</v>
      </c>
      <c r="E36" s="139"/>
      <c r="F36" s="138">
        <v>657735.67000000004</v>
      </c>
    </row>
  </sheetData>
  <mergeCells count="4">
    <mergeCell ref="B1:C1"/>
    <mergeCell ref="B2:C2"/>
    <mergeCell ref="E1:F1"/>
    <mergeCell ref="E2:F2"/>
  </mergeCells>
  <printOptions gridLines="1"/>
  <pageMargins left="0.7" right="0.2" top="0.25" bottom="0.25" header="0.3" footer="0.3"/>
  <pageSetup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Sheet1</vt:lpstr>
      <vt:lpstr>Result - 30 -June,2010</vt:lpstr>
      <vt:lpstr>Tally Working of WOS-Result </vt:lpstr>
      <vt:lpstr> FZE-Tally Data </vt:lpstr>
      <vt:lpstr>'Result - 30 -June,2010'!Print_Area</vt:lpstr>
      <vt:lpstr>'Tally Working of WOS-Result '!Print_Area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Dharmendra</dc:creator>
  <cp:lastModifiedBy>abc</cp:lastModifiedBy>
  <cp:lastPrinted>2010-08-11T06:42:47Z</cp:lastPrinted>
  <dcterms:created xsi:type="dcterms:W3CDTF">1996-10-14T23:33:28Z</dcterms:created>
  <dcterms:modified xsi:type="dcterms:W3CDTF">2010-08-11T06:45:48Z</dcterms:modified>
</cp:coreProperties>
</file>